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bChris\Desktop\Emmanuel\"/>
    </mc:Choice>
  </mc:AlternateContent>
  <bookViews>
    <workbookView xWindow="0" yWindow="0" windowWidth="28800" windowHeight="11835"/>
  </bookViews>
  <sheets>
    <sheet name="BudgetData" sheetId="3" r:id="rId1"/>
    <sheet name="Differential" sheetId="7" r:id="rId2"/>
    <sheet name="Data" sheetId="1" r:id="rId3"/>
    <sheet name="Charts" sheetId="2" r:id="rId4"/>
    <sheet name="Print2018Budget" sheetId="10" r:id="rId5"/>
    <sheet name="Accounts" sheetId="1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3" l="1"/>
  <c r="E67" i="3"/>
  <c r="E66" i="3"/>
  <c r="E65" i="3"/>
  <c r="E56" i="3"/>
  <c r="E52" i="3"/>
  <c r="E49" i="3"/>
  <c r="E45" i="3"/>
  <c r="E41" i="3"/>
  <c r="E37" i="3"/>
  <c r="E31" i="3"/>
  <c r="E24" i="3"/>
  <c r="E21" i="3"/>
  <c r="E17" i="3"/>
  <c r="G124" i="3"/>
  <c r="G123" i="3"/>
  <c r="G122" i="3"/>
  <c r="G121" i="3"/>
  <c r="G120" i="3"/>
  <c r="E11" i="3"/>
  <c r="E10" i="3"/>
  <c r="E7" i="3"/>
  <c r="E25" i="3" l="1"/>
  <c r="M26" i="3"/>
  <c r="I26" i="3"/>
  <c r="E50" i="3"/>
  <c r="E106" i="3" l="1"/>
  <c r="E104" i="3"/>
  <c r="E108" i="3" s="1"/>
  <c r="E98" i="3"/>
  <c r="E95" i="3"/>
  <c r="E89" i="3"/>
  <c r="E87" i="3"/>
  <c r="E82" i="3"/>
  <c r="E76" i="3"/>
  <c r="C59" i="2"/>
  <c r="B59" i="2"/>
  <c r="E100" i="3" l="1"/>
  <c r="E92" i="3"/>
  <c r="E84" i="3"/>
  <c r="FM20" i="1"/>
  <c r="FL20" i="1"/>
  <c r="FK20" i="1"/>
  <c r="FM15" i="1"/>
  <c r="FL15" i="1"/>
  <c r="FK15" i="1"/>
  <c r="FM10" i="1"/>
  <c r="FL10" i="1"/>
  <c r="FK10" i="1"/>
  <c r="FM5" i="1"/>
  <c r="FL5" i="1"/>
  <c r="FK5" i="1"/>
  <c r="FM22" i="1" l="1"/>
  <c r="FL22" i="1"/>
  <c r="FK22" i="1"/>
  <c r="FJ19" i="1" l="1"/>
  <c r="E48" i="3" l="1"/>
  <c r="E34" i="3"/>
  <c r="G125" i="3"/>
  <c r="C58" i="2" l="1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D24" i="12" l="1"/>
  <c r="D22" i="12"/>
  <c r="D16" i="12"/>
  <c r="D11" i="12"/>
  <c r="D6" i="12"/>
  <c r="E57" i="3" l="1"/>
  <c r="F50" i="3" l="1"/>
  <c r="F57" i="3"/>
  <c r="F56" i="3"/>
  <c r="F53" i="3"/>
  <c r="F52" i="3"/>
  <c r="F49" i="3"/>
  <c r="F48" i="3"/>
  <c r="F47" i="3"/>
  <c r="F46" i="3"/>
  <c r="F37" i="3"/>
  <c r="F36" i="3"/>
  <c r="F34" i="3"/>
  <c r="F31" i="3"/>
  <c r="F26" i="3"/>
  <c r="F25" i="3"/>
  <c r="F24" i="3"/>
  <c r="F21" i="3"/>
  <c r="F19" i="3"/>
  <c r="F18" i="3"/>
  <c r="F17" i="3"/>
  <c r="F11" i="3"/>
  <c r="F10" i="3"/>
  <c r="F6" i="3"/>
  <c r="F5" i="3"/>
  <c r="F4" i="3"/>
  <c r="F3" i="3"/>
  <c r="F7" i="3"/>
  <c r="G38" i="3" l="1"/>
  <c r="E68" i="3" l="1"/>
  <c r="E15" i="3" l="1"/>
  <c r="F15" i="3" s="1"/>
  <c r="E14" i="3"/>
  <c r="F14" i="3" s="1"/>
  <c r="E16" i="3"/>
  <c r="F16" i="3" s="1"/>
  <c r="E38" i="3"/>
  <c r="F38" i="3" s="1"/>
  <c r="E26" i="3"/>
  <c r="E58" i="3"/>
  <c r="F58" i="3" s="1"/>
  <c r="E53" i="3"/>
  <c r="E43" i="3"/>
  <c r="E8" i="3"/>
  <c r="E13" i="3" l="1"/>
  <c r="F13" i="3" s="1"/>
  <c r="E27" i="3"/>
  <c r="F27" i="3" s="1"/>
  <c r="E54" i="3"/>
  <c r="F54" i="3" s="1"/>
  <c r="E12" i="3"/>
  <c r="O13" i="2"/>
  <c r="O12" i="2"/>
  <c r="O11" i="2"/>
  <c r="O10" i="2"/>
  <c r="O9" i="2"/>
  <c r="O8" i="2"/>
  <c r="O7" i="2"/>
  <c r="O6" i="2"/>
  <c r="O5" i="2"/>
  <c r="D56" i="7"/>
  <c r="D53" i="7"/>
  <c r="D52" i="7"/>
  <c r="D49" i="7"/>
  <c r="D48" i="7"/>
  <c r="D47" i="7"/>
  <c r="D46" i="7"/>
  <c r="D45" i="7"/>
  <c r="D44" i="7"/>
  <c r="D43" i="7"/>
  <c r="D42" i="7"/>
  <c r="D41" i="7"/>
  <c r="D40" i="7"/>
  <c r="D37" i="7"/>
  <c r="D36" i="7"/>
  <c r="D35" i="7"/>
  <c r="D34" i="7"/>
  <c r="D33" i="7"/>
  <c r="D32" i="7"/>
  <c r="D31" i="7"/>
  <c r="D30" i="7"/>
  <c r="D29" i="7"/>
  <c r="D28" i="7"/>
  <c r="D21" i="7"/>
  <c r="D19" i="7"/>
  <c r="D18" i="7"/>
  <c r="D17" i="7"/>
  <c r="D11" i="7"/>
  <c r="D10" i="7"/>
  <c r="D7" i="7"/>
  <c r="D6" i="7"/>
  <c r="D5" i="7"/>
  <c r="D4" i="7"/>
  <c r="D3" i="7"/>
  <c r="K58" i="3"/>
  <c r="K54" i="3"/>
  <c r="K50" i="3"/>
  <c r="K38" i="3"/>
  <c r="K24" i="3"/>
  <c r="K26" i="3" s="1"/>
  <c r="K12" i="3"/>
  <c r="K20" i="3" s="1"/>
  <c r="K22" i="3" s="1"/>
  <c r="K8" i="3"/>
  <c r="E20" i="3" l="1"/>
  <c r="F20" i="3" s="1"/>
  <c r="F12" i="3"/>
  <c r="K25" i="3"/>
  <c r="K27" i="3" s="1"/>
  <c r="G50" i="3"/>
  <c r="H50" i="3"/>
  <c r="G8" i="3"/>
  <c r="F8" i="3" s="1"/>
  <c r="H8" i="3"/>
  <c r="H58" i="3"/>
  <c r="G58" i="3"/>
  <c r="G54" i="3"/>
  <c r="H54" i="3"/>
  <c r="H38" i="3"/>
  <c r="H24" i="3"/>
  <c r="D24" i="7" s="1"/>
  <c r="G24" i="3"/>
  <c r="G26" i="3" s="1"/>
  <c r="H12" i="3"/>
  <c r="H20" i="3" s="1"/>
  <c r="G12" i="3"/>
  <c r="G20" i="3" s="1"/>
  <c r="G22" i="3" s="1"/>
  <c r="I8" i="3"/>
  <c r="I57" i="3"/>
  <c r="D57" i="7" s="1"/>
  <c r="I54" i="3"/>
  <c r="I50" i="3"/>
  <c r="I38" i="3"/>
  <c r="I25" i="3"/>
  <c r="D16" i="7"/>
  <c r="D14" i="7"/>
  <c r="D13" i="7"/>
  <c r="I12" i="3"/>
  <c r="E22" i="3" l="1"/>
  <c r="F22" i="3" s="1"/>
  <c r="E60" i="3"/>
  <c r="I27" i="3"/>
  <c r="I20" i="3"/>
  <c r="I22" i="3" s="1"/>
  <c r="D15" i="7"/>
  <c r="D12" i="7"/>
  <c r="H22" i="3"/>
  <c r="I58" i="3"/>
  <c r="D38" i="7"/>
  <c r="D50" i="7"/>
  <c r="D54" i="7"/>
  <c r="D8" i="7"/>
  <c r="H26" i="3"/>
  <c r="D26" i="7" s="1"/>
  <c r="G25" i="3"/>
  <c r="G27" i="3" s="1"/>
  <c r="G60" i="3" s="1"/>
  <c r="E69" i="3" s="1"/>
  <c r="E70" i="3" s="1"/>
  <c r="E71" i="3" s="1"/>
  <c r="H25" i="3"/>
  <c r="F60" i="3" l="1"/>
  <c r="D20" i="7"/>
  <c r="D22" i="7"/>
  <c r="I60" i="3"/>
  <c r="D58" i="7"/>
  <c r="H27" i="3"/>
  <c r="D25" i="7"/>
  <c r="M14" i="2"/>
  <c r="L14" i="2"/>
  <c r="K14" i="2"/>
  <c r="I14" i="2"/>
  <c r="H14" i="2"/>
  <c r="G14" i="2"/>
  <c r="F14" i="2"/>
  <c r="E14" i="2"/>
  <c r="D14" i="2"/>
  <c r="C14" i="2"/>
  <c r="B14" i="2"/>
  <c r="D27" i="7" l="1"/>
  <c r="H60" i="3"/>
  <c r="D60" i="7" s="1"/>
  <c r="FJ20" i="1"/>
  <c r="FI20" i="1"/>
  <c r="FH20" i="1"/>
  <c r="FG20" i="1"/>
  <c r="FF20" i="1"/>
  <c r="FE20" i="1"/>
  <c r="FD20" i="1"/>
  <c r="FC20" i="1"/>
  <c r="FB20" i="1"/>
  <c r="FJ15" i="1"/>
  <c r="FJ10" i="1"/>
  <c r="FI10" i="1"/>
  <c r="FH10" i="1"/>
  <c r="FG10" i="1"/>
  <c r="FF10" i="1"/>
  <c r="FE10" i="1"/>
  <c r="FD10" i="1"/>
  <c r="FC10" i="1"/>
  <c r="FB10" i="1"/>
  <c r="FJ5" i="1"/>
  <c r="FI5" i="1"/>
  <c r="FH5" i="1"/>
  <c r="FG5" i="1"/>
  <c r="FF5" i="1"/>
  <c r="FE5" i="1"/>
  <c r="FD5" i="1"/>
  <c r="FC5" i="1"/>
  <c r="FB5" i="1"/>
  <c r="FJ22" i="1" l="1"/>
  <c r="J14" i="2" s="1"/>
  <c r="O14" i="2" s="1"/>
  <c r="FC22" i="1"/>
  <c r="EZ13" i="1"/>
  <c r="EY13" i="1" l="1"/>
  <c r="FI15" i="1" l="1"/>
  <c r="FI22" i="1" s="1"/>
  <c r="FH15" i="1"/>
  <c r="FH22" i="1" s="1"/>
  <c r="FG15" i="1"/>
  <c r="FG22" i="1" s="1"/>
  <c r="FF15" i="1"/>
  <c r="FF22" i="1" s="1"/>
  <c r="FE15" i="1"/>
  <c r="FE22" i="1" s="1"/>
  <c r="FD15" i="1"/>
  <c r="FD22" i="1" s="1"/>
  <c r="FC15" i="1"/>
  <c r="FB15" i="1"/>
  <c r="FB22" i="1" s="1"/>
  <c r="E105" i="10" l="1"/>
  <c r="D105" i="10"/>
  <c r="B105" i="10"/>
  <c r="H104" i="10"/>
  <c r="G104" i="10"/>
  <c r="F104" i="10"/>
  <c r="F105" i="10" s="1"/>
  <c r="C104" i="10"/>
  <c r="C105" i="10" s="1"/>
  <c r="H103" i="10"/>
  <c r="H105" i="10" s="1"/>
  <c r="G103" i="10"/>
  <c r="G105" i="10" s="1"/>
  <c r="C100" i="10"/>
  <c r="B100" i="10"/>
  <c r="H98" i="10"/>
  <c r="H100" i="10" s="1"/>
  <c r="G98" i="10"/>
  <c r="G100" i="10" s="1"/>
  <c r="F98" i="10"/>
  <c r="F100" i="10" s="1"/>
  <c r="E98" i="10"/>
  <c r="E100" i="10" s="1"/>
  <c r="D98" i="10"/>
  <c r="D100" i="10" s="1"/>
  <c r="B95" i="10"/>
  <c r="H94" i="10"/>
  <c r="G94" i="10"/>
  <c r="F94" i="10"/>
  <c r="E94" i="10"/>
  <c r="D94" i="10"/>
  <c r="H93" i="10"/>
  <c r="H95" i="10" s="1"/>
  <c r="G93" i="10"/>
  <c r="F93" i="10"/>
  <c r="F95" i="10" s="1"/>
  <c r="E93" i="10"/>
  <c r="D93" i="10"/>
  <c r="D95" i="10" s="1"/>
  <c r="C93" i="10"/>
  <c r="C95" i="10" s="1"/>
  <c r="B90" i="10"/>
  <c r="H89" i="10"/>
  <c r="G89" i="10"/>
  <c r="F89" i="10"/>
  <c r="E89" i="10"/>
  <c r="D89" i="10"/>
  <c r="C89" i="10"/>
  <c r="H88" i="10"/>
  <c r="H90" i="10" s="1"/>
  <c r="H107" i="10" s="1"/>
  <c r="G88" i="10"/>
  <c r="G90" i="10" s="1"/>
  <c r="F88" i="10"/>
  <c r="F90" i="10" s="1"/>
  <c r="E88" i="10"/>
  <c r="D88" i="10"/>
  <c r="D90" i="10" s="1"/>
  <c r="D107" i="10" s="1"/>
  <c r="C88" i="10"/>
  <c r="C90" i="10" s="1"/>
  <c r="E67" i="10"/>
  <c r="D67" i="10"/>
  <c r="C67" i="10"/>
  <c r="B67" i="10"/>
  <c r="H66" i="10"/>
  <c r="G66" i="10"/>
  <c r="F66" i="10"/>
  <c r="F67" i="10" s="1"/>
  <c r="C66" i="10"/>
  <c r="H65" i="10"/>
  <c r="H67" i="10" s="1"/>
  <c r="G65" i="10"/>
  <c r="G67" i="10" s="1"/>
  <c r="H62" i="10"/>
  <c r="C62" i="10"/>
  <c r="B62" i="10"/>
  <c r="H60" i="10"/>
  <c r="G60" i="10"/>
  <c r="G62" i="10" s="1"/>
  <c r="F60" i="10"/>
  <c r="F62" i="10" s="1"/>
  <c r="E60" i="10"/>
  <c r="E62" i="10" s="1"/>
  <c r="D60" i="10"/>
  <c r="D62" i="10" s="1"/>
  <c r="B57" i="10"/>
  <c r="H56" i="10"/>
  <c r="G56" i="10"/>
  <c r="F56" i="10"/>
  <c r="E56" i="10"/>
  <c r="D56" i="10"/>
  <c r="H55" i="10"/>
  <c r="H57" i="10" s="1"/>
  <c r="G55" i="10"/>
  <c r="F55" i="10"/>
  <c r="F57" i="10" s="1"/>
  <c r="E55" i="10"/>
  <c r="D55" i="10"/>
  <c r="D57" i="10" s="1"/>
  <c r="C55" i="10"/>
  <c r="C57" i="10" s="1"/>
  <c r="B52" i="10"/>
  <c r="H51" i="10"/>
  <c r="G51" i="10"/>
  <c r="F51" i="10"/>
  <c r="E51" i="10"/>
  <c r="D51" i="10"/>
  <c r="C51" i="10"/>
  <c r="H50" i="10"/>
  <c r="H52" i="10" s="1"/>
  <c r="H69" i="10" s="1"/>
  <c r="G50" i="10"/>
  <c r="G52" i="10" s="1"/>
  <c r="F50" i="10"/>
  <c r="F52" i="10" s="1"/>
  <c r="E50" i="10"/>
  <c r="D50" i="10"/>
  <c r="D52" i="10" s="1"/>
  <c r="D69" i="10" s="1"/>
  <c r="C50" i="10"/>
  <c r="C52" i="10" s="1"/>
  <c r="C69" i="10" s="1"/>
  <c r="E57" i="10" l="1"/>
  <c r="E95" i="10"/>
  <c r="E52" i="10"/>
  <c r="E69" i="10" s="1"/>
  <c r="B69" i="10"/>
  <c r="E90" i="10"/>
  <c r="E107" i="10" s="1"/>
  <c r="B107" i="10"/>
  <c r="G69" i="10"/>
  <c r="G57" i="10"/>
  <c r="F107" i="10"/>
  <c r="G95" i="10"/>
  <c r="G107" i="10" s="1"/>
  <c r="C107" i="10"/>
  <c r="F69" i="10"/>
  <c r="H13" i="2"/>
  <c r="G13" i="2"/>
  <c r="F13" i="2"/>
  <c r="E13" i="2"/>
  <c r="D13" i="2"/>
  <c r="C13" i="2"/>
  <c r="B13" i="2"/>
  <c r="EV19" i="1"/>
  <c r="EV18" i="1"/>
  <c r="EV13" i="1"/>
  <c r="EV9" i="1"/>
  <c r="EV8" i="1"/>
  <c r="EV4" i="1"/>
  <c r="EV3" i="1"/>
  <c r="EU19" i="1" l="1"/>
  <c r="EU18" i="1"/>
  <c r="EU13" i="1"/>
  <c r="EU9" i="1"/>
  <c r="EU8" i="1"/>
  <c r="EU4" i="1"/>
  <c r="EU3" i="1"/>
  <c r="ET19" i="1" l="1"/>
  <c r="ET13" i="1"/>
  <c r="ET9" i="1"/>
  <c r="ET8" i="1"/>
  <c r="ET4" i="1"/>
  <c r="ET3" i="1"/>
  <c r="ES13" i="1" l="1"/>
  <c r="ES9" i="1"/>
  <c r="ES8" i="1"/>
  <c r="ES4" i="1"/>
  <c r="ES3" i="1"/>
  <c r="ER13" i="1" l="1"/>
  <c r="ER9" i="1"/>
  <c r="ER8" i="1"/>
  <c r="ER4" i="1"/>
  <c r="ER3" i="1"/>
  <c r="FA20" i="1" l="1"/>
  <c r="EZ20" i="1"/>
  <c r="EY20" i="1"/>
  <c r="EX20" i="1"/>
  <c r="EW20" i="1"/>
  <c r="EV20" i="1"/>
  <c r="EU20" i="1"/>
  <c r="ET20" i="1"/>
  <c r="ES20" i="1"/>
  <c r="ER20" i="1"/>
  <c r="FA15" i="1"/>
  <c r="EZ15" i="1"/>
  <c r="EY15" i="1"/>
  <c r="EX15" i="1"/>
  <c r="EW15" i="1"/>
  <c r="EV15" i="1"/>
  <c r="EU15" i="1"/>
  <c r="ET15" i="1"/>
  <c r="ES15" i="1"/>
  <c r="ER15" i="1"/>
  <c r="FA10" i="1"/>
  <c r="EZ10" i="1"/>
  <c r="EY10" i="1"/>
  <c r="EX10" i="1"/>
  <c r="EW10" i="1"/>
  <c r="EV10" i="1"/>
  <c r="EU10" i="1"/>
  <c r="ET10" i="1"/>
  <c r="ES10" i="1"/>
  <c r="ER10" i="1"/>
  <c r="FA5" i="1"/>
  <c r="EZ5" i="1"/>
  <c r="EY5" i="1"/>
  <c r="EX5" i="1"/>
  <c r="EW5" i="1"/>
  <c r="EV5" i="1"/>
  <c r="EU5" i="1"/>
  <c r="ET5" i="1"/>
  <c r="ES5" i="1"/>
  <c r="ER5" i="1"/>
  <c r="EQ5" i="1"/>
  <c r="EQ22" i="1"/>
  <c r="EQ19" i="1"/>
  <c r="EQ20" i="1" s="1"/>
  <c r="EQ15" i="1"/>
  <c r="EQ10" i="1"/>
  <c r="EQ8" i="1"/>
  <c r="EQ4" i="1"/>
  <c r="EQ3" i="1"/>
  <c r="FA22" i="1" l="1"/>
  <c r="M13" i="2" s="1"/>
  <c r="EY22" i="1"/>
  <c r="K13" i="2" s="1"/>
  <c r="EX22" i="1"/>
  <c r="J13" i="2" s="1"/>
  <c r="EW22" i="1"/>
  <c r="I13" i="2" s="1"/>
  <c r="EU22" i="1"/>
  <c r="ET22" i="1"/>
  <c r="ES22" i="1"/>
  <c r="ER22" i="1"/>
  <c r="EV22" i="1"/>
  <c r="EZ22" i="1"/>
  <c r="L13" i="2" s="1"/>
  <c r="EO9" i="1"/>
  <c r="EO8" i="1"/>
  <c r="EO4" i="1"/>
  <c r="EO3" i="1"/>
  <c r="EN14" i="1" l="1"/>
  <c r="EN9" i="1"/>
  <c r="EN8" i="1"/>
  <c r="EN4" i="1"/>
  <c r="EN3" i="1"/>
  <c r="E57" i="7" l="1"/>
  <c r="E56" i="7"/>
  <c r="E53" i="7"/>
  <c r="E52" i="7"/>
  <c r="E49" i="7"/>
  <c r="E48" i="7"/>
  <c r="E47" i="7"/>
  <c r="E46" i="7"/>
  <c r="E45" i="7"/>
  <c r="E44" i="7"/>
  <c r="E43" i="7"/>
  <c r="E42" i="7"/>
  <c r="E41" i="7"/>
  <c r="E40" i="7"/>
  <c r="E37" i="7"/>
  <c r="E36" i="7"/>
  <c r="E35" i="7"/>
  <c r="E34" i="7"/>
  <c r="E33" i="7"/>
  <c r="E32" i="7"/>
  <c r="E31" i="7"/>
  <c r="E30" i="7"/>
  <c r="E29" i="7"/>
  <c r="E28" i="7"/>
  <c r="E24" i="7"/>
  <c r="E21" i="7"/>
  <c r="E19" i="7"/>
  <c r="E18" i="7"/>
  <c r="E11" i="7"/>
  <c r="E10" i="7"/>
  <c r="E7" i="7"/>
  <c r="E6" i="7"/>
  <c r="E5" i="7"/>
  <c r="E4" i="7"/>
  <c r="E3" i="7"/>
  <c r="Q8" i="3"/>
  <c r="F8" i="7" s="1"/>
  <c r="F57" i="7"/>
  <c r="F56" i="7"/>
  <c r="F53" i="7"/>
  <c r="F52" i="7"/>
  <c r="F49" i="7"/>
  <c r="F48" i="7"/>
  <c r="F47" i="7"/>
  <c r="F46" i="7"/>
  <c r="F45" i="7"/>
  <c r="F44" i="7"/>
  <c r="F42" i="7"/>
  <c r="F41" i="7"/>
  <c r="F40" i="7"/>
  <c r="F36" i="7"/>
  <c r="F35" i="7"/>
  <c r="F34" i="7"/>
  <c r="F33" i="7"/>
  <c r="F32" i="7"/>
  <c r="F31" i="7"/>
  <c r="F30" i="7"/>
  <c r="F29" i="7"/>
  <c r="F24" i="7"/>
  <c r="F21" i="7"/>
  <c r="F19" i="7"/>
  <c r="F18" i="7"/>
  <c r="F17" i="7"/>
  <c r="F16" i="7"/>
  <c r="F15" i="7"/>
  <c r="F14" i="7"/>
  <c r="F13" i="7"/>
  <c r="F11" i="7"/>
  <c r="F7" i="7"/>
  <c r="F6" i="7"/>
  <c r="F5" i="7"/>
  <c r="F4" i="7"/>
  <c r="F3" i="7"/>
  <c r="L68" i="3" l="1"/>
  <c r="L70" i="3" s="1"/>
  <c r="L71" i="3" s="1"/>
  <c r="M8" i="3"/>
  <c r="L8" i="3"/>
  <c r="L54" i="3"/>
  <c r="L50" i="3"/>
  <c r="M38" i="3"/>
  <c r="L38" i="3"/>
  <c r="L27" i="3"/>
  <c r="E26" i="7"/>
  <c r="M25" i="3"/>
  <c r="M17" i="3"/>
  <c r="E17" i="7" s="1"/>
  <c r="M16" i="3"/>
  <c r="E16" i="7" s="1"/>
  <c r="M15" i="3"/>
  <c r="E15" i="7" s="1"/>
  <c r="M14" i="3"/>
  <c r="E14" i="7" s="1"/>
  <c r="M13" i="3"/>
  <c r="E13" i="7" s="1"/>
  <c r="M12" i="3"/>
  <c r="L12" i="3"/>
  <c r="L20" i="3" s="1"/>
  <c r="M58" i="3"/>
  <c r="E58" i="7" s="1"/>
  <c r="M54" i="3"/>
  <c r="M50" i="3"/>
  <c r="E38" i="7" l="1"/>
  <c r="E8" i="7"/>
  <c r="L22" i="3"/>
  <c r="L60" i="3" s="1"/>
  <c r="E54" i="7"/>
  <c r="E12" i="7"/>
  <c r="M27" i="3"/>
  <c r="E27" i="7" s="1"/>
  <c r="E25" i="7"/>
  <c r="M20" i="3"/>
  <c r="M22" i="3" s="1"/>
  <c r="E50" i="7"/>
  <c r="M60" i="3" l="1"/>
  <c r="E60" i="7"/>
  <c r="E20" i="7"/>
  <c r="E22" i="7"/>
  <c r="EO20" i="1"/>
  <c r="EN20" i="1"/>
  <c r="EM20" i="1"/>
  <c r="EL20" i="1"/>
  <c r="EK20" i="1"/>
  <c r="EJ20" i="1"/>
  <c r="EI20" i="1"/>
  <c r="EH20" i="1"/>
  <c r="EG20" i="1"/>
  <c r="EF20" i="1"/>
  <c r="EE20" i="1"/>
  <c r="ED20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O5" i="1"/>
  <c r="EN5" i="1"/>
  <c r="EM5" i="1"/>
  <c r="EL5" i="1"/>
  <c r="EK5" i="1"/>
  <c r="EJ5" i="1"/>
  <c r="EI5" i="1"/>
  <c r="EH5" i="1"/>
  <c r="EG5" i="1"/>
  <c r="EF5" i="1"/>
  <c r="EE5" i="1"/>
  <c r="ED5" i="1"/>
  <c r="EO22" i="1" l="1"/>
  <c r="M12" i="2" s="1"/>
  <c r="EN22" i="1"/>
  <c r="L12" i="2" s="1"/>
  <c r="EM22" i="1"/>
  <c r="K12" i="2" s="1"/>
  <c r="EL22" i="1"/>
  <c r="J12" i="2" s="1"/>
  <c r="EK22" i="1"/>
  <c r="I12" i="2" s="1"/>
  <c r="EJ22" i="1"/>
  <c r="H12" i="2" s="1"/>
  <c r="EI22" i="1"/>
  <c r="G12" i="2" s="1"/>
  <c r="EH22" i="1"/>
  <c r="F12" i="2" s="1"/>
  <c r="EG22" i="1"/>
  <c r="E12" i="2" s="1"/>
  <c r="EF22" i="1"/>
  <c r="D12" i="2" s="1"/>
  <c r="EE22" i="1"/>
  <c r="C12" i="2" s="1"/>
  <c r="ED22" i="1"/>
  <c r="B12" i="2" s="1"/>
  <c r="Z20" i="1" l="1"/>
  <c r="Z15" i="1"/>
  <c r="Z10" i="1"/>
  <c r="Z5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5" i="1"/>
  <c r="X5" i="1"/>
  <c r="W5" i="1"/>
  <c r="V5" i="1"/>
  <c r="U5" i="1"/>
  <c r="T5" i="1"/>
  <c r="S5" i="1"/>
  <c r="R5" i="1"/>
  <c r="Q5" i="1"/>
  <c r="Q22" i="1" s="1"/>
  <c r="E2" i="2" s="1"/>
  <c r="P5" i="1"/>
  <c r="P22" i="1" s="1"/>
  <c r="D2" i="2" s="1"/>
  <c r="O5" i="1"/>
  <c r="O22" i="1" s="1"/>
  <c r="C2" i="2" s="1"/>
  <c r="N5" i="1"/>
  <c r="N22" i="1" s="1"/>
  <c r="B2" i="2" s="1"/>
  <c r="M5" i="1"/>
  <c r="M22" i="1" s="1"/>
  <c r="L5" i="1"/>
  <c r="K5" i="1"/>
  <c r="K22" i="1" s="1"/>
  <c r="J5" i="1"/>
  <c r="I5" i="1"/>
  <c r="I22" i="1" s="1"/>
  <c r="H5" i="1"/>
  <c r="H22" i="1" s="1"/>
  <c r="G5" i="1"/>
  <c r="G22" i="1" s="1"/>
  <c r="F5" i="1"/>
  <c r="E5" i="1"/>
  <c r="E22" i="1" s="1"/>
  <c r="D5" i="1"/>
  <c r="D22" i="1" s="1"/>
  <c r="C5" i="1"/>
  <c r="C22" i="1" s="1"/>
  <c r="B5" i="1"/>
  <c r="B22" i="1" s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AV5" i="1"/>
  <c r="AV22" i="1" s="1"/>
  <c r="AU5" i="1"/>
  <c r="AT5" i="1"/>
  <c r="AS5" i="1"/>
  <c r="AR5" i="1"/>
  <c r="AR22" i="1" s="1"/>
  <c r="AQ5" i="1"/>
  <c r="AQ22" i="1" s="1"/>
  <c r="AP5" i="1"/>
  <c r="AO5" i="1"/>
  <c r="AN5" i="1"/>
  <c r="AN22" i="1" s="1"/>
  <c r="AM5" i="1"/>
  <c r="AM22" i="1" s="1"/>
  <c r="AL5" i="1"/>
  <c r="AK5" i="1"/>
  <c r="AJ5" i="1"/>
  <c r="AI5" i="1"/>
  <c r="AH5" i="1"/>
  <c r="AG5" i="1"/>
  <c r="AF5" i="1"/>
  <c r="AE5" i="1"/>
  <c r="AD5" i="1"/>
  <c r="AC5" i="1"/>
  <c r="AB5" i="1"/>
  <c r="AA5" i="1"/>
  <c r="AW20" i="1"/>
  <c r="AW15" i="1"/>
  <c r="AW10" i="1"/>
  <c r="AW5" i="1"/>
  <c r="AW22" i="1" s="1"/>
  <c r="AO22" i="1" l="1"/>
  <c r="AS22" i="1"/>
  <c r="L22" i="1"/>
  <c r="J22" i="1"/>
  <c r="F22" i="1"/>
  <c r="AU22" i="1"/>
  <c r="AL22" i="1"/>
  <c r="AP22" i="1"/>
  <c r="AT22" i="1"/>
  <c r="Y22" i="1"/>
  <c r="M2" i="2" s="1"/>
  <c r="V22" i="1"/>
  <c r="J2" i="2" s="1"/>
  <c r="W22" i="1"/>
  <c r="K2" i="2" s="1"/>
  <c r="X22" i="1"/>
  <c r="L2" i="2" s="1"/>
  <c r="T22" i="1"/>
  <c r="H2" i="2" s="1"/>
  <c r="U22" i="1"/>
  <c r="I2" i="2" s="1"/>
  <c r="S22" i="1"/>
  <c r="G2" i="2" s="1"/>
  <c r="R22" i="1"/>
  <c r="F2" i="2" s="1"/>
  <c r="AA22" i="1"/>
  <c r="AB22" i="1"/>
  <c r="AC22" i="1"/>
  <c r="AD22" i="1"/>
  <c r="AE22" i="1"/>
  <c r="AF22" i="1"/>
  <c r="AG22" i="1"/>
  <c r="AH22" i="1"/>
  <c r="AI22" i="1"/>
  <c r="AJ22" i="1"/>
  <c r="Z22" i="1"/>
  <c r="AK22" i="1"/>
  <c r="O58" i="3"/>
  <c r="O54" i="3"/>
  <c r="O50" i="3"/>
  <c r="O38" i="3"/>
  <c r="O27" i="3"/>
  <c r="O12" i="3"/>
  <c r="O20" i="3" s="1"/>
  <c r="O22" i="3" s="1"/>
  <c r="O8" i="3"/>
  <c r="O60" i="3" l="1"/>
  <c r="Q10" i="3"/>
  <c r="Q58" i="3"/>
  <c r="Q26" i="3"/>
  <c r="F26" i="7" s="1"/>
  <c r="Q25" i="3"/>
  <c r="Q37" i="3"/>
  <c r="F37" i="7" s="1"/>
  <c r="Q54" i="3"/>
  <c r="F54" i="7" s="1"/>
  <c r="Q43" i="3"/>
  <c r="F43" i="7" s="1"/>
  <c r="Q38" i="3" l="1"/>
  <c r="F38" i="7" s="1"/>
  <c r="F58" i="7"/>
  <c r="Q12" i="3"/>
  <c r="F10" i="7"/>
  <c r="Q50" i="3"/>
  <c r="F50" i="7" s="1"/>
  <c r="Q27" i="3"/>
  <c r="F27" i="7" s="1"/>
  <c r="F25" i="7"/>
  <c r="AK62" i="3"/>
  <c r="AK60" i="3"/>
  <c r="AK58" i="3"/>
  <c r="AK57" i="3"/>
  <c r="AK56" i="3"/>
  <c r="AK54" i="3"/>
  <c r="AK53" i="3"/>
  <c r="AK52" i="3"/>
  <c r="AK50" i="3"/>
  <c r="AK49" i="3"/>
  <c r="AK48" i="3"/>
  <c r="AK47" i="3"/>
  <c r="AK46" i="3"/>
  <c r="AK45" i="3"/>
  <c r="AK44" i="3"/>
  <c r="AK43" i="3"/>
  <c r="AK42" i="3"/>
  <c r="AK41" i="3"/>
  <c r="AK40" i="3"/>
  <c r="AK38" i="3"/>
  <c r="AK37" i="3"/>
  <c r="AK36" i="3"/>
  <c r="AK35" i="3"/>
  <c r="AK34" i="3"/>
  <c r="AK33" i="3"/>
  <c r="AK32" i="3"/>
  <c r="AK31" i="3"/>
  <c r="AK30" i="3"/>
  <c r="AK29" i="3"/>
  <c r="AK27" i="3"/>
  <c r="AK26" i="3"/>
  <c r="AK25" i="3"/>
  <c r="AK24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8" i="3"/>
  <c r="AK7" i="3"/>
  <c r="AK6" i="3"/>
  <c r="AK5" i="3"/>
  <c r="AK4" i="3"/>
  <c r="AK3" i="3"/>
  <c r="M60" i="7"/>
  <c r="L60" i="7"/>
  <c r="J60" i="7"/>
  <c r="I60" i="7"/>
  <c r="M59" i="7"/>
  <c r="L59" i="7"/>
  <c r="J59" i="7"/>
  <c r="I59" i="7"/>
  <c r="M58" i="7"/>
  <c r="L58" i="7"/>
  <c r="J58" i="7"/>
  <c r="I58" i="7"/>
  <c r="M57" i="7"/>
  <c r="L57" i="7"/>
  <c r="J57" i="7"/>
  <c r="I57" i="7"/>
  <c r="M56" i="7"/>
  <c r="L56" i="7"/>
  <c r="J56" i="7"/>
  <c r="I56" i="7"/>
  <c r="M55" i="7"/>
  <c r="L55" i="7"/>
  <c r="J55" i="7"/>
  <c r="I55" i="7"/>
  <c r="M54" i="7"/>
  <c r="L54" i="7"/>
  <c r="J54" i="7"/>
  <c r="I54" i="7"/>
  <c r="M53" i="7"/>
  <c r="L53" i="7"/>
  <c r="J53" i="7"/>
  <c r="I53" i="7"/>
  <c r="M52" i="7"/>
  <c r="L52" i="7"/>
  <c r="J52" i="7"/>
  <c r="I52" i="7"/>
  <c r="M50" i="7"/>
  <c r="L50" i="7"/>
  <c r="J50" i="7"/>
  <c r="I50" i="7"/>
  <c r="M49" i="7"/>
  <c r="L49" i="7"/>
  <c r="J49" i="7"/>
  <c r="I49" i="7"/>
  <c r="M48" i="7"/>
  <c r="L48" i="7"/>
  <c r="J48" i="7"/>
  <c r="I48" i="7"/>
  <c r="M47" i="7"/>
  <c r="L47" i="7"/>
  <c r="J47" i="7"/>
  <c r="I47" i="7"/>
  <c r="M46" i="7"/>
  <c r="L46" i="7"/>
  <c r="J46" i="7"/>
  <c r="I46" i="7"/>
  <c r="M45" i="7"/>
  <c r="L45" i="7"/>
  <c r="J45" i="7"/>
  <c r="I45" i="7"/>
  <c r="M44" i="7"/>
  <c r="L44" i="7"/>
  <c r="J44" i="7"/>
  <c r="I44" i="7"/>
  <c r="M43" i="7"/>
  <c r="L43" i="7"/>
  <c r="J43" i="7"/>
  <c r="I43" i="7"/>
  <c r="M42" i="7"/>
  <c r="L42" i="7"/>
  <c r="J42" i="7"/>
  <c r="I42" i="7"/>
  <c r="M41" i="7"/>
  <c r="L41" i="7"/>
  <c r="J41" i="7"/>
  <c r="I41" i="7"/>
  <c r="M40" i="7"/>
  <c r="L40" i="7"/>
  <c r="J40" i="7"/>
  <c r="I40" i="7"/>
  <c r="M38" i="7"/>
  <c r="L38" i="7"/>
  <c r="J38" i="7"/>
  <c r="I38" i="7"/>
  <c r="M37" i="7"/>
  <c r="L37" i="7"/>
  <c r="J37" i="7"/>
  <c r="I37" i="7"/>
  <c r="M36" i="7"/>
  <c r="L36" i="7"/>
  <c r="J36" i="7"/>
  <c r="I36" i="7"/>
  <c r="M35" i="7"/>
  <c r="L35" i="7"/>
  <c r="J35" i="7"/>
  <c r="I35" i="7"/>
  <c r="M34" i="7"/>
  <c r="L34" i="7"/>
  <c r="J34" i="7"/>
  <c r="I34" i="7"/>
  <c r="M33" i="7"/>
  <c r="L33" i="7"/>
  <c r="J33" i="7"/>
  <c r="I33" i="7"/>
  <c r="M32" i="7"/>
  <c r="L32" i="7"/>
  <c r="J32" i="7"/>
  <c r="I32" i="7"/>
  <c r="M31" i="7"/>
  <c r="L31" i="7"/>
  <c r="J31" i="7"/>
  <c r="I31" i="7"/>
  <c r="M30" i="7"/>
  <c r="L30" i="7"/>
  <c r="J30" i="7"/>
  <c r="I30" i="7"/>
  <c r="M29" i="7"/>
  <c r="L29" i="7"/>
  <c r="J29" i="7"/>
  <c r="I29" i="7"/>
  <c r="M28" i="7"/>
  <c r="L28" i="7"/>
  <c r="J28" i="7"/>
  <c r="I28" i="7"/>
  <c r="M27" i="7"/>
  <c r="L27" i="7"/>
  <c r="J27" i="7"/>
  <c r="I27" i="7"/>
  <c r="M26" i="7"/>
  <c r="L26" i="7"/>
  <c r="J26" i="7"/>
  <c r="I26" i="7"/>
  <c r="M25" i="7"/>
  <c r="L25" i="7"/>
  <c r="J25" i="7"/>
  <c r="I25" i="7"/>
  <c r="M24" i="7"/>
  <c r="L24" i="7"/>
  <c r="J24" i="7"/>
  <c r="I24" i="7"/>
  <c r="M22" i="7"/>
  <c r="L22" i="7"/>
  <c r="J22" i="7"/>
  <c r="I22" i="7"/>
  <c r="M21" i="7"/>
  <c r="L21" i="7"/>
  <c r="J21" i="7"/>
  <c r="I21" i="7"/>
  <c r="M20" i="7"/>
  <c r="L20" i="7"/>
  <c r="J20" i="7"/>
  <c r="I20" i="7"/>
  <c r="M19" i="7"/>
  <c r="L19" i="7"/>
  <c r="J19" i="7"/>
  <c r="I19" i="7"/>
  <c r="M18" i="7"/>
  <c r="L18" i="7"/>
  <c r="J18" i="7"/>
  <c r="I18" i="7"/>
  <c r="M17" i="7"/>
  <c r="L17" i="7"/>
  <c r="J17" i="7"/>
  <c r="I17" i="7"/>
  <c r="M16" i="7"/>
  <c r="L16" i="7"/>
  <c r="J16" i="7"/>
  <c r="I16" i="7"/>
  <c r="M15" i="7"/>
  <c r="L15" i="7"/>
  <c r="J15" i="7"/>
  <c r="I15" i="7"/>
  <c r="M14" i="7"/>
  <c r="L14" i="7"/>
  <c r="J14" i="7"/>
  <c r="I14" i="7"/>
  <c r="M13" i="7"/>
  <c r="L13" i="7"/>
  <c r="J13" i="7"/>
  <c r="I13" i="7"/>
  <c r="M12" i="7"/>
  <c r="L12" i="7"/>
  <c r="J12" i="7"/>
  <c r="I12" i="7"/>
  <c r="M11" i="7"/>
  <c r="L11" i="7"/>
  <c r="J11" i="7"/>
  <c r="I11" i="7"/>
  <c r="M10" i="7"/>
  <c r="L10" i="7"/>
  <c r="J10" i="7"/>
  <c r="I10" i="7"/>
  <c r="M8" i="7"/>
  <c r="L8" i="7"/>
  <c r="J8" i="7"/>
  <c r="I8" i="7"/>
  <c r="M7" i="7"/>
  <c r="L7" i="7"/>
  <c r="J7" i="7"/>
  <c r="I7" i="7"/>
  <c r="M6" i="7"/>
  <c r="L6" i="7"/>
  <c r="J6" i="7"/>
  <c r="I6" i="7"/>
  <c r="M5" i="7"/>
  <c r="L5" i="7"/>
  <c r="J5" i="7"/>
  <c r="I5" i="7"/>
  <c r="M4" i="7"/>
  <c r="L4" i="7"/>
  <c r="J4" i="7"/>
  <c r="I4" i="7"/>
  <c r="M3" i="7"/>
  <c r="L3" i="7"/>
  <c r="J3" i="7"/>
  <c r="I3" i="7"/>
  <c r="H60" i="7"/>
  <c r="H59" i="7"/>
  <c r="H58" i="7"/>
  <c r="H57" i="7"/>
  <c r="H56" i="7"/>
  <c r="H55" i="7"/>
  <c r="H54" i="7"/>
  <c r="H53" i="7"/>
  <c r="H52" i="7"/>
  <c r="H50" i="7"/>
  <c r="H49" i="7"/>
  <c r="H48" i="7"/>
  <c r="H47" i="7"/>
  <c r="H46" i="7"/>
  <c r="H45" i="7"/>
  <c r="H44" i="7"/>
  <c r="H43" i="7"/>
  <c r="H42" i="7"/>
  <c r="H41" i="7"/>
  <c r="H40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8" i="7"/>
  <c r="H7" i="7"/>
  <c r="H6" i="7"/>
  <c r="H5" i="7"/>
  <c r="H4" i="7"/>
  <c r="H3" i="7"/>
  <c r="G60" i="7"/>
  <c r="G58" i="7"/>
  <c r="G57" i="7"/>
  <c r="G56" i="7"/>
  <c r="G54" i="7"/>
  <c r="G53" i="7"/>
  <c r="G52" i="7"/>
  <c r="G50" i="7"/>
  <c r="G49" i="7"/>
  <c r="G48" i="7"/>
  <c r="G47" i="7"/>
  <c r="G46" i="7"/>
  <c r="G45" i="7"/>
  <c r="G44" i="7"/>
  <c r="G43" i="7"/>
  <c r="G42" i="7"/>
  <c r="G41" i="7"/>
  <c r="G40" i="7"/>
  <c r="G38" i="7"/>
  <c r="G37" i="7"/>
  <c r="G36" i="7"/>
  <c r="G35" i="7"/>
  <c r="G34" i="7"/>
  <c r="G33" i="7"/>
  <c r="G32" i="7"/>
  <c r="G31" i="7"/>
  <c r="G30" i="7"/>
  <c r="G29" i="7"/>
  <c r="G27" i="7"/>
  <c r="G26" i="7"/>
  <c r="G25" i="7"/>
  <c r="G24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7" i="7"/>
  <c r="G6" i="7"/>
  <c r="G5" i="7"/>
  <c r="G4" i="7"/>
  <c r="G3" i="7"/>
  <c r="Z108" i="3"/>
  <c r="Z92" i="3"/>
  <c r="Z83" i="3"/>
  <c r="Q20" i="3" l="1"/>
  <c r="F12" i="7"/>
  <c r="EP20" i="1"/>
  <c r="EC20" i="1"/>
  <c r="EB20" i="1"/>
  <c r="EA20" i="1"/>
  <c r="DZ20" i="1"/>
  <c r="EP15" i="1"/>
  <c r="EC15" i="1"/>
  <c r="EB15" i="1"/>
  <c r="EA15" i="1"/>
  <c r="DZ15" i="1"/>
  <c r="EP10" i="1"/>
  <c r="EC10" i="1"/>
  <c r="EB10" i="1"/>
  <c r="EA10" i="1"/>
  <c r="DZ10" i="1"/>
  <c r="EP5" i="1"/>
  <c r="EC5" i="1"/>
  <c r="EB5" i="1"/>
  <c r="EA5" i="1"/>
  <c r="DZ5" i="1"/>
  <c r="Q22" i="3" l="1"/>
  <c r="F20" i="7"/>
  <c r="DZ22" i="1"/>
  <c r="EP22" i="1"/>
  <c r="EB22" i="1"/>
  <c r="L11" i="2" s="1"/>
  <c r="EC22" i="1"/>
  <c r="M11" i="2" s="1"/>
  <c r="EA22" i="1"/>
  <c r="K11" i="2" s="1"/>
  <c r="J11" i="2"/>
  <c r="A6" i="2"/>
  <c r="A7" i="2" s="1"/>
  <c r="A8" i="2" s="1"/>
  <c r="A9" i="2" s="1"/>
  <c r="A10" i="2" s="1"/>
  <c r="A11" i="2" s="1"/>
  <c r="EC1" i="1"/>
  <c r="EB1" i="1"/>
  <c r="EA1" i="1"/>
  <c r="DZ1" i="1"/>
  <c r="DY1" i="1"/>
  <c r="DX1" i="1"/>
  <c r="DW1" i="1"/>
  <c r="DV1" i="1"/>
  <c r="DU1" i="1"/>
  <c r="DT1" i="1"/>
  <c r="DS1" i="1"/>
  <c r="DR1" i="1"/>
  <c r="DQ1" i="1"/>
  <c r="DP1" i="1"/>
  <c r="DO1" i="1"/>
  <c r="DN1" i="1"/>
  <c r="DM1" i="1"/>
  <c r="DL1" i="1"/>
  <c r="DK1" i="1"/>
  <c r="DJ1" i="1"/>
  <c r="DI1" i="1"/>
  <c r="DH1" i="1"/>
  <c r="DG1" i="1"/>
  <c r="DF1" i="1"/>
  <c r="DE1" i="1"/>
  <c r="DD1" i="1"/>
  <c r="DC1" i="1"/>
  <c r="DB1" i="1"/>
  <c r="DA1" i="1"/>
  <c r="CZ1" i="1"/>
  <c r="CY1" i="1"/>
  <c r="CX1" i="1"/>
  <c r="CW1" i="1"/>
  <c r="CV1" i="1"/>
  <c r="CU1" i="1"/>
  <c r="CT1" i="1"/>
  <c r="CS1" i="1"/>
  <c r="CR1" i="1"/>
  <c r="CQ1" i="1"/>
  <c r="CP1" i="1"/>
  <c r="CO1" i="1"/>
  <c r="CN1" i="1"/>
  <c r="CM1" i="1"/>
  <c r="CL1" i="1"/>
  <c r="CK1" i="1"/>
  <c r="CJ1" i="1"/>
  <c r="CI1" i="1"/>
  <c r="CH1" i="1"/>
  <c r="CG1" i="1"/>
  <c r="CF1" i="1"/>
  <c r="CE1" i="1"/>
  <c r="CD1" i="1"/>
  <c r="CC1" i="1"/>
  <c r="CB1" i="1"/>
  <c r="CA1" i="1"/>
  <c r="BZ1" i="1"/>
  <c r="BY1" i="1"/>
  <c r="BX1" i="1"/>
  <c r="BW1" i="1"/>
  <c r="BV1" i="1"/>
  <c r="BU1" i="1"/>
  <c r="BT1" i="1"/>
  <c r="BS1" i="1"/>
  <c r="BR1" i="1"/>
  <c r="BQ1" i="1"/>
  <c r="BP1" i="1"/>
  <c r="BO1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BI5" i="1"/>
  <c r="BI22" i="1" s="1"/>
  <c r="M5" i="2" s="1"/>
  <c r="BH5" i="1"/>
  <c r="BH22" i="1" s="1"/>
  <c r="L5" i="2" s="1"/>
  <c r="BG5" i="1"/>
  <c r="BG22" i="1" s="1"/>
  <c r="K5" i="2" s="1"/>
  <c r="BF5" i="1"/>
  <c r="BF22" i="1" s="1"/>
  <c r="J5" i="2" s="1"/>
  <c r="BE5" i="1"/>
  <c r="BD5" i="1"/>
  <c r="BD22" i="1" s="1"/>
  <c r="H5" i="2" s="1"/>
  <c r="BC5" i="1"/>
  <c r="BC22" i="1" s="1"/>
  <c r="G5" i="2" s="1"/>
  <c r="BB5" i="1"/>
  <c r="BB22" i="1" s="1"/>
  <c r="F5" i="2" s="1"/>
  <c r="BA5" i="1"/>
  <c r="BA22" i="1" s="1"/>
  <c r="E5" i="2" s="1"/>
  <c r="AZ5" i="1"/>
  <c r="AZ22" i="1" s="1"/>
  <c r="D5" i="2" s="1"/>
  <c r="AY5" i="1"/>
  <c r="AY22" i="1" s="1"/>
  <c r="C5" i="2" s="1"/>
  <c r="AX5" i="1"/>
  <c r="AX22" i="1" s="1"/>
  <c r="B5" i="2" s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U5" i="1"/>
  <c r="BT5" i="1"/>
  <c r="BT22" i="1" s="1"/>
  <c r="L6" i="2" s="1"/>
  <c r="BS5" i="1"/>
  <c r="BS22" i="1" s="1"/>
  <c r="K6" i="2" s="1"/>
  <c r="BR5" i="1"/>
  <c r="BR22" i="1" s="1"/>
  <c r="J6" i="2" s="1"/>
  <c r="BQ5" i="1"/>
  <c r="BQ22" i="1" s="1"/>
  <c r="I6" i="2" s="1"/>
  <c r="BP5" i="1"/>
  <c r="BO5" i="1"/>
  <c r="BO22" i="1" s="1"/>
  <c r="G6" i="2" s="1"/>
  <c r="BN5" i="1"/>
  <c r="BM5" i="1"/>
  <c r="BL5" i="1"/>
  <c r="BK5" i="1"/>
  <c r="BJ5" i="1"/>
  <c r="BJ22" i="1" s="1"/>
  <c r="B6" i="2" s="1"/>
  <c r="CG20" i="1"/>
  <c r="CF20" i="1"/>
  <c r="CE20" i="1"/>
  <c r="CD20" i="1"/>
  <c r="CC20" i="1"/>
  <c r="CB20" i="1"/>
  <c r="CA20" i="1"/>
  <c r="BZ20" i="1"/>
  <c r="BY20" i="1"/>
  <c r="BX20" i="1"/>
  <c r="BW20" i="1"/>
  <c r="BV20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CG5" i="1"/>
  <c r="CG22" i="1" s="1"/>
  <c r="M7" i="2" s="1"/>
  <c r="CF5" i="1"/>
  <c r="CF22" i="1" s="1"/>
  <c r="L7" i="2" s="1"/>
  <c r="CE5" i="1"/>
  <c r="CD5" i="1"/>
  <c r="CC5" i="1"/>
  <c r="CB5" i="1"/>
  <c r="CA5" i="1"/>
  <c r="BZ5" i="1"/>
  <c r="BY5" i="1"/>
  <c r="BX5" i="1"/>
  <c r="BW5" i="1"/>
  <c r="BV5" i="1"/>
  <c r="BV22" i="1" s="1"/>
  <c r="B7" i="2" s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S5" i="1"/>
  <c r="CS22" i="1" s="1"/>
  <c r="M8" i="2" s="1"/>
  <c r="CR5" i="1"/>
  <c r="CR22" i="1" s="1"/>
  <c r="L8" i="2" s="1"/>
  <c r="CQ5" i="1"/>
  <c r="CQ22" i="1" s="1"/>
  <c r="K8" i="2" s="1"/>
  <c r="CP5" i="1"/>
  <c r="CP22" i="1" s="1"/>
  <c r="J8" i="2" s="1"/>
  <c r="CO5" i="1"/>
  <c r="CO22" i="1" s="1"/>
  <c r="I8" i="2" s="1"/>
  <c r="CN5" i="1"/>
  <c r="CN22" i="1" s="1"/>
  <c r="H8" i="2" s="1"/>
  <c r="CM5" i="1"/>
  <c r="CM22" i="1" s="1"/>
  <c r="G8" i="2" s="1"/>
  <c r="CL5" i="1"/>
  <c r="CL22" i="1" s="1"/>
  <c r="F8" i="2" s="1"/>
  <c r="CK5" i="1"/>
  <c r="CK22" i="1" s="1"/>
  <c r="E8" i="2" s="1"/>
  <c r="CJ5" i="1"/>
  <c r="CJ22" i="1" s="1"/>
  <c r="D8" i="2" s="1"/>
  <c r="CI5" i="1"/>
  <c r="CI22" i="1" s="1"/>
  <c r="C8" i="2" s="1"/>
  <c r="CH5" i="1"/>
  <c r="CH22" i="1" s="1"/>
  <c r="B8" i="2" s="1"/>
  <c r="DE20" i="1"/>
  <c r="DD20" i="1"/>
  <c r="DC20" i="1"/>
  <c r="DB20" i="1"/>
  <c r="DA20" i="1"/>
  <c r="CZ20" i="1"/>
  <c r="CY20" i="1"/>
  <c r="CX20" i="1"/>
  <c r="CW20" i="1"/>
  <c r="CV20" i="1"/>
  <c r="CU20" i="1"/>
  <c r="CT20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DE5" i="1"/>
  <c r="DE22" i="1" s="1"/>
  <c r="M9" i="2" s="1"/>
  <c r="DD5" i="1"/>
  <c r="DC5" i="1"/>
  <c r="DB5" i="1"/>
  <c r="DB22" i="1" s="1"/>
  <c r="J9" i="2" s="1"/>
  <c r="DA5" i="1"/>
  <c r="DA22" i="1" s="1"/>
  <c r="I9" i="2" s="1"/>
  <c r="CZ5" i="1"/>
  <c r="CZ22" i="1" s="1"/>
  <c r="H9" i="2" s="1"/>
  <c r="CY5" i="1"/>
  <c r="CY22" i="1" s="1"/>
  <c r="G9" i="2" s="1"/>
  <c r="CX5" i="1"/>
  <c r="CX22" i="1" s="1"/>
  <c r="F9" i="2" s="1"/>
  <c r="CW5" i="1"/>
  <c r="CW22" i="1" s="1"/>
  <c r="E9" i="2" s="1"/>
  <c r="CV5" i="1"/>
  <c r="CV22" i="1" s="1"/>
  <c r="D9" i="2" s="1"/>
  <c r="CU5" i="1"/>
  <c r="CU22" i="1" s="1"/>
  <c r="C9" i="2" s="1"/>
  <c r="CT5" i="1"/>
  <c r="CT22" i="1" s="1"/>
  <c r="B9" i="2" s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Q5" i="1"/>
  <c r="DP5" i="1"/>
  <c r="DP22" i="1" s="1"/>
  <c r="L10" i="2" s="1"/>
  <c r="DO5" i="1"/>
  <c r="DN5" i="1"/>
  <c r="DM5" i="1"/>
  <c r="DL5" i="1"/>
  <c r="DL22" i="1" s="1"/>
  <c r="H10" i="2" s="1"/>
  <c r="DK5" i="1"/>
  <c r="DJ5" i="1"/>
  <c r="DJ22" i="1" s="1"/>
  <c r="F10" i="2" s="1"/>
  <c r="DI5" i="1"/>
  <c r="DI22" i="1" s="1"/>
  <c r="E10" i="2" s="1"/>
  <c r="DH5" i="1"/>
  <c r="DH22" i="1" s="1"/>
  <c r="D10" i="2" s="1"/>
  <c r="DG5" i="1"/>
  <c r="DF5" i="1"/>
  <c r="DQ22" i="1"/>
  <c r="M10" i="2" s="1"/>
  <c r="DK22" i="1"/>
  <c r="G10" i="2" s="1"/>
  <c r="DG22" i="1"/>
  <c r="C10" i="2" s="1"/>
  <c r="F22" i="7" l="1"/>
  <c r="Q60" i="3"/>
  <c r="F60" i="7" s="1"/>
  <c r="DM22" i="1"/>
  <c r="I10" i="2" s="1"/>
  <c r="DN22" i="1"/>
  <c r="J10" i="2" s="1"/>
  <c r="DO22" i="1"/>
  <c r="K10" i="2" s="1"/>
  <c r="CE22" i="1"/>
  <c r="K7" i="2" s="1"/>
  <c r="CD22" i="1"/>
  <c r="J7" i="2" s="1"/>
  <c r="CC22" i="1"/>
  <c r="I7" i="2" s="1"/>
  <c r="CB22" i="1"/>
  <c r="H7" i="2" s="1"/>
  <c r="CA22" i="1"/>
  <c r="G7" i="2" s="1"/>
  <c r="BZ22" i="1"/>
  <c r="F7" i="2" s="1"/>
  <c r="DF22" i="1"/>
  <c r="B10" i="2" s="1"/>
  <c r="BY22" i="1"/>
  <c r="E7" i="2" s="1"/>
  <c r="BX22" i="1"/>
  <c r="D7" i="2" s="1"/>
  <c r="BW22" i="1"/>
  <c r="C7" i="2" s="1"/>
  <c r="BU22" i="1"/>
  <c r="M6" i="2" s="1"/>
  <c r="BP22" i="1"/>
  <c r="H6" i="2" s="1"/>
  <c r="BN22" i="1"/>
  <c r="F6" i="2" s="1"/>
  <c r="BM22" i="1"/>
  <c r="E6" i="2" s="1"/>
  <c r="BL22" i="1"/>
  <c r="D6" i="2" s="1"/>
  <c r="BK22" i="1"/>
  <c r="C6" i="2" s="1"/>
  <c r="BE22" i="1"/>
  <c r="I5" i="2" s="1"/>
  <c r="DD22" i="1"/>
  <c r="L9" i="2" s="1"/>
  <c r="DC22" i="1"/>
  <c r="K9" i="2" s="1"/>
  <c r="DY20" i="1"/>
  <c r="DX20" i="1"/>
  <c r="DW20" i="1"/>
  <c r="DV20" i="1"/>
  <c r="DU20" i="1"/>
  <c r="DT20" i="1"/>
  <c r="DS20" i="1"/>
  <c r="DR20" i="1"/>
  <c r="DY15" i="1"/>
  <c r="DX15" i="1"/>
  <c r="DW15" i="1"/>
  <c r="DV15" i="1"/>
  <c r="DU15" i="1"/>
  <c r="DT15" i="1"/>
  <c r="DS15" i="1"/>
  <c r="DR15" i="1"/>
  <c r="DY10" i="1"/>
  <c r="DX10" i="1"/>
  <c r="DW10" i="1"/>
  <c r="DV10" i="1"/>
  <c r="DU10" i="1"/>
  <c r="DT10" i="1"/>
  <c r="DS10" i="1"/>
  <c r="DR10" i="1"/>
  <c r="DY5" i="1"/>
  <c r="DY22" i="1" s="1"/>
  <c r="I11" i="2" s="1"/>
  <c r="DX5" i="1"/>
  <c r="DX22" i="1" s="1"/>
  <c r="H11" i="2" s="1"/>
  <c r="DW5" i="1"/>
  <c r="DV5" i="1"/>
  <c r="DV22" i="1" s="1"/>
  <c r="F11" i="2" s="1"/>
  <c r="DU5" i="1"/>
  <c r="DT5" i="1"/>
  <c r="DT22" i="1" s="1"/>
  <c r="D11" i="2" s="1"/>
  <c r="DS5" i="1"/>
  <c r="DS22" i="1" s="1"/>
  <c r="C11" i="2" s="1"/>
  <c r="DR5" i="1"/>
  <c r="DR22" i="1" s="1"/>
  <c r="B11" i="2" s="1"/>
  <c r="DU22" i="1" l="1"/>
  <c r="DW22" i="1"/>
  <c r="G11" i="2" s="1"/>
  <c r="E11" i="2" l="1"/>
</calcChain>
</file>

<file path=xl/comments1.xml><?xml version="1.0" encoding="utf-8"?>
<comments xmlns="http://schemas.openxmlformats.org/spreadsheetml/2006/main">
  <authors>
    <author>DebChris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$250 check #5373 - Bonnie Bates for periodicals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<sst xmlns="http://schemas.openxmlformats.org/spreadsheetml/2006/main" count="332" uniqueCount="176">
  <si>
    <t>Expenses</t>
  </si>
  <si>
    <t>Income</t>
  </si>
  <si>
    <t>Net Revenue</t>
  </si>
  <si>
    <t>GENERAL FUND</t>
  </si>
  <si>
    <t>Building Fund:</t>
  </si>
  <si>
    <t>Memorial Fund:</t>
  </si>
  <si>
    <t>Small Games Fund: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</si>
  <si>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</si>
  <si>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</si>
  <si>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</si>
  <si>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</si>
  <si>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</si>
  <si>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</si>
  <si>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</si>
  <si>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</si>
  <si>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</si>
  <si>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</si>
  <si>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</si>
  <si>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</si>
  <si>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</si>
  <si>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2015 BUDGET</t>
  </si>
  <si>
    <t>Health Insurance (50% of UCC Plan)</t>
  </si>
  <si>
    <t>Vision Insurance (UCC Plan)</t>
  </si>
  <si>
    <t>Periodicals, Books &amp; Continuing Ed</t>
  </si>
  <si>
    <t>Mileage (200 miles/month @ 57.5¢ per mile)</t>
  </si>
  <si>
    <t>Parsonage Investment Income ($375/month)</t>
  </si>
  <si>
    <t>TOTAL PASTOR’S SALARY &amp;BENEFITS</t>
  </si>
  <si>
    <t>Salary ($12.20/hr @ 1,040 hours)</t>
  </si>
  <si>
    <t>Social Security Withholding (.0765)</t>
  </si>
  <si>
    <t>Pension (3%)</t>
  </si>
  <si>
    <t>TOTAL SECRETARY’S SALARY &amp; BENEFITS</t>
  </si>
  <si>
    <t>Offering Envelopes</t>
  </si>
  <si>
    <t>Music &amp; Choir Materials</t>
  </si>
  <si>
    <t>Children &amp; Youth Activities</t>
  </si>
  <si>
    <t>Church Sponsored Activities</t>
  </si>
  <si>
    <t>Nursery Attendant ($10/week) (paid when nursery is used)</t>
  </si>
  <si>
    <t>Supply Pastors ($150/visit &amp; mileage -PNEC Guideline)</t>
  </si>
  <si>
    <t>Office Supplies</t>
  </si>
  <si>
    <t>TOTAL PROGRAMS AND OUTREACH</t>
  </si>
  <si>
    <t>Fire Extinguisher Servicing</t>
  </si>
  <si>
    <t>Furnace Servicing</t>
  </si>
  <si>
    <t>Snow Plowing ($100/occurrence)</t>
  </si>
  <si>
    <t>TOTAL BUILDING EXPENSES</t>
  </si>
  <si>
    <t>General Liability (Building, etc)</t>
  </si>
  <si>
    <t>TOTAL INSURANCE</t>
  </si>
  <si>
    <t>Tax Service</t>
  </si>
  <si>
    <t>Candles, Kitchen &amp; Cleaning Supplies, Wine, etc.</t>
  </si>
  <si>
    <t>TOTAL MISCELLANEOUS</t>
  </si>
  <si>
    <t>Current averages:</t>
  </si>
  <si>
    <t>Plate</t>
  </si>
  <si>
    <t>Envelopes</t>
  </si>
  <si>
    <t>TOTAL AVERAGE WEEKLY OFFERINGS</t>
  </si>
  <si>
    <t>Amount needed to meet budget with just offerings (no fundraisers included)</t>
  </si>
  <si>
    <t>General Fund</t>
  </si>
  <si>
    <t>Beginning Balance</t>
  </si>
  <si>
    <t>Receipts to Date (includes all sources of income)</t>
  </si>
  <si>
    <t>Transfers from Parsonage Fund</t>
  </si>
  <si>
    <t>Transfers from Building Fund</t>
  </si>
  <si>
    <t>Transfers from Memorial Fund</t>
  </si>
  <si>
    <t>Transfers from Small Games Account</t>
  </si>
  <si>
    <t>Expenses to Date</t>
  </si>
  <si>
    <t>Scheduled transfer to Memorial Fund (includes repayments for last year)</t>
  </si>
  <si>
    <t>Balance</t>
  </si>
  <si>
    <t>Building Fund</t>
  </si>
  <si>
    <t>Transfer from Rinehimer Memorial Account</t>
  </si>
  <si>
    <t>Transfers to General Fund</t>
  </si>
  <si>
    <t>Transfer to Memorial Fund (reimburse General Fund Expenses)</t>
  </si>
  <si>
    <t>Memorial Fund</t>
  </si>
  <si>
    <t>Transfer from Building Fund</t>
  </si>
  <si>
    <t>Scheduled Transfer from General Fund</t>
  </si>
  <si>
    <t>Transfer to General Fund</t>
  </si>
  <si>
    <t>Small Games of Chance Fund</t>
  </si>
  <si>
    <t>Benevolences Paid to Date</t>
  </si>
  <si>
    <t>2015 "ACTUAL"</t>
  </si>
  <si>
    <t xml:space="preserve">  </t>
  </si>
  <si>
    <t>OCWM  ($1,500)</t>
  </si>
  <si>
    <t>Bethany  ($1,000)</t>
  </si>
  <si>
    <t>Phoebe Devit  ($1,000)</t>
  </si>
  <si>
    <t>Lancaster Seminary  ($1,000)</t>
  </si>
  <si>
    <t>Local Missions  ($500)</t>
  </si>
  <si>
    <t>TOTAL BENEVOLENCES   ($5,000)</t>
  </si>
  <si>
    <t xml:space="preserve">Salary </t>
  </si>
  <si>
    <t xml:space="preserve">Housing Allowance </t>
  </si>
  <si>
    <t xml:space="preserve">    Subtotal</t>
  </si>
  <si>
    <t xml:space="preserve">   SUBTOTAL</t>
  </si>
  <si>
    <t>Organist - $50/week</t>
  </si>
  <si>
    <t>Organist - Social Security Withholding (.0765)</t>
  </si>
  <si>
    <t>Fuel Oil  (2016 projected usage of 1000 gal. x $2.50/gal.)</t>
  </si>
  <si>
    <t xml:space="preserve">Electricity  </t>
  </si>
  <si>
    <t xml:space="preserve">Miscellaneous Maintenance </t>
  </si>
  <si>
    <t>Propane Gas  (approx. 1,000 gal @ $1.80)</t>
  </si>
  <si>
    <t>Trash Removal  (approximately 12 occurrences at $35)</t>
  </si>
  <si>
    <t>Telephone and Internet  ($110 per month)</t>
  </si>
  <si>
    <t xml:space="preserve">Workers Compensation </t>
  </si>
  <si>
    <t xml:space="preserve">TOTAL BUDGET </t>
  </si>
  <si>
    <t>Amount needed based on cumulative income sources -</t>
  </si>
  <si>
    <t>Refer to treasurer's report in monthly Consistory Minutes</t>
  </si>
  <si>
    <t xml:space="preserve">Difference per week </t>
  </si>
  <si>
    <t>2014 BUDGET</t>
  </si>
  <si>
    <t>2014 "ACTUAL"</t>
  </si>
  <si>
    <t>Transfer to Sm. Games (to bring total to $1,000 for 2013 Phoebe)</t>
  </si>
  <si>
    <t>2013 BUDGET</t>
  </si>
  <si>
    <t>2013 "ACTUAL"</t>
  </si>
  <si>
    <t>2012 BUDGET</t>
  </si>
  <si>
    <t>2012 "ACTUAL"</t>
  </si>
  <si>
    <t>Rock Salt and Qwik Joe</t>
  </si>
  <si>
    <t>Transfers from Memorial CD</t>
  </si>
  <si>
    <t>2010 BUDGET</t>
  </si>
  <si>
    <t>2010 “ACTUAL”</t>
  </si>
  <si>
    <t>2009 BUDGET</t>
  </si>
  <si>
    <t>2009 “ACTUAL”</t>
  </si>
  <si>
    <r>
      <rPr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BENEVOLENCES</t>
    </r>
    <r>
      <rPr>
        <sz val="10"/>
        <rFont val="Calibri"/>
        <family val="2"/>
        <scheme val="minor"/>
      </rPr>
      <t>:</t>
    </r>
  </si>
  <si>
    <r>
      <t>2PASTOR SALARY &amp; BENEFITS</t>
    </r>
    <r>
      <rPr>
        <sz val="10"/>
        <rFont val="Calibri"/>
        <family val="2"/>
        <scheme val="minor"/>
      </rPr>
      <t>:</t>
    </r>
  </si>
  <si>
    <r>
      <t xml:space="preserve">Pension </t>
    </r>
    <r>
      <rPr>
        <i/>
        <sz val="10"/>
        <rFont val="Calibri"/>
        <family val="2"/>
        <scheme val="minor"/>
      </rPr>
      <t>(3% - average pensions in this area)</t>
    </r>
  </si>
  <si>
    <r>
      <t>Life and Disability Ins. (</t>
    </r>
    <r>
      <rPr>
        <i/>
        <sz val="10"/>
        <rFont val="Calibri"/>
        <family val="2"/>
        <scheme val="minor"/>
      </rPr>
      <t>Pension Board - .015 sal.&amp;Hsing)</t>
    </r>
  </si>
  <si>
    <r>
      <t xml:space="preserve">Social Security Withholding </t>
    </r>
    <r>
      <rPr>
        <i/>
        <sz val="10"/>
        <rFont val="Calibri"/>
        <family val="2"/>
        <scheme val="minor"/>
      </rPr>
      <t>(.08 - PNEC Guidelines)</t>
    </r>
  </si>
  <si>
    <r>
      <t>SECRETARY’S SALARY &amp; BENEFITS</t>
    </r>
    <r>
      <rPr>
        <sz val="10"/>
        <rFont val="Calibri"/>
        <family val="2"/>
        <scheme val="minor"/>
      </rPr>
      <t xml:space="preserve">:  </t>
    </r>
  </si>
  <si>
    <r>
      <t>PROGRAMS &amp; OUTREACH</t>
    </r>
    <r>
      <rPr>
        <sz val="10"/>
        <rFont val="Calibri"/>
        <family val="2"/>
        <scheme val="minor"/>
      </rPr>
      <t>:</t>
    </r>
  </si>
  <si>
    <r>
      <t>BUILDING EXPENSES</t>
    </r>
    <r>
      <rPr>
        <sz val="10"/>
        <rFont val="Calibri"/>
        <family val="2"/>
        <scheme val="minor"/>
      </rPr>
      <t>:</t>
    </r>
  </si>
  <si>
    <r>
      <t>INSURANCE</t>
    </r>
    <r>
      <rPr>
        <sz val="10"/>
        <rFont val="Calibri"/>
        <family val="2"/>
        <scheme val="minor"/>
      </rPr>
      <t>:</t>
    </r>
  </si>
  <si>
    <r>
      <t>MISCELLANEOUS</t>
    </r>
    <r>
      <rPr>
        <sz val="10"/>
        <rFont val="Calibri"/>
        <family val="2"/>
        <scheme val="minor"/>
      </rPr>
      <t>:</t>
    </r>
  </si>
  <si>
    <r>
      <t>Increased needed weekly</t>
    </r>
    <r>
      <rPr>
        <b/>
        <u/>
        <sz val="10"/>
        <rFont val="Calibri"/>
        <family val="2"/>
        <scheme val="minor"/>
      </rPr>
      <t xml:space="preserve"> per person</t>
    </r>
    <r>
      <rPr>
        <b/>
        <sz val="10"/>
        <rFont val="Calibri"/>
        <family val="2"/>
        <scheme val="minor"/>
      </rPr>
      <t xml:space="preserve"> to meet budget (excluding 10 children)</t>
    </r>
  </si>
  <si>
    <t>2015 Difference</t>
  </si>
  <si>
    <t>2014 Difference</t>
  </si>
  <si>
    <t>2013 Difference</t>
  </si>
  <si>
    <t>2012 Difference</t>
  </si>
  <si>
    <t>2011 Difference</t>
  </si>
  <si>
    <t>2010 Difference</t>
  </si>
  <si>
    <t>2009 Difference</t>
  </si>
  <si>
    <t>Budget - Actual Differentials</t>
  </si>
  <si>
    <t>Actual Averages</t>
  </si>
  <si>
    <t>2016 "ACTUAL"</t>
  </si>
  <si>
    <r>
      <t>PASTOR SALARY &amp; BENEFITS</t>
    </r>
    <r>
      <rPr>
        <sz val="10"/>
        <rFont val="Calibri"/>
        <family val="2"/>
        <scheme val="minor"/>
      </rPr>
      <t>:</t>
    </r>
  </si>
  <si>
    <t>2016 Budget</t>
  </si>
  <si>
    <r>
      <t>BENEVOLENCES</t>
    </r>
    <r>
      <rPr>
        <sz val="10"/>
        <rFont val="Calibri"/>
        <family val="2"/>
        <scheme val="minor"/>
      </rPr>
      <t>:</t>
    </r>
  </si>
  <si>
    <t>2017 Proposed</t>
  </si>
  <si>
    <t>a</t>
  </si>
  <si>
    <t>c</t>
  </si>
  <si>
    <t>a,b - high estimate</t>
  </si>
  <si>
    <t>c - funds remain from 2015 donation ($620)</t>
  </si>
  <si>
    <t>2017 Budget</t>
  </si>
  <si>
    <t>2017 "ACTUAL"</t>
  </si>
  <si>
    <t>2018 Proposed</t>
  </si>
  <si>
    <t>Current Balances of Accounts  (10/31/17)</t>
  </si>
  <si>
    <t>2016 Difference</t>
  </si>
  <si>
    <t>2017 Difference</t>
  </si>
  <si>
    <t>2018 Difference</t>
  </si>
  <si>
    <t>2019 Difference</t>
  </si>
  <si>
    <t>2018 "ACTUAL"</t>
  </si>
  <si>
    <t>2018 Budget</t>
  </si>
  <si>
    <t>2019 Proposed</t>
  </si>
  <si>
    <t>BUILDING EXPENSES:</t>
  </si>
  <si>
    <t>xxx</t>
  </si>
  <si>
    <t>Pension (0.03 of C) (paid to the Pension Boards UCC)</t>
  </si>
  <si>
    <t>Life and Disability Program (0.015 of C) (UCC Pension Boards)</t>
  </si>
  <si>
    <t>Social Security Reimbursement (0.08 of C)</t>
  </si>
  <si>
    <t>Health &amp; Dental Insurance Plan (50% of Standard Plan paid by EUCC)</t>
  </si>
  <si>
    <t xml:space="preserve">Vision Insurance (UCC Plan) </t>
  </si>
  <si>
    <t>d.    Benefits (Based on “Subtotal” - $ 28,547)</t>
  </si>
  <si>
    <t>d</t>
  </si>
  <si>
    <t>b,d</t>
  </si>
  <si>
    <t>NA</t>
  </si>
  <si>
    <r>
      <t xml:space="preserve">Attendance </t>
    </r>
    <r>
      <rPr>
        <strike/>
        <sz val="10"/>
        <rFont val="Calibri"/>
        <family val="2"/>
        <scheme val="minor"/>
      </rPr>
      <t>(includes approximately 7-10 children)</t>
    </r>
  </si>
  <si>
    <t>Building</t>
  </si>
  <si>
    <t>% To Budget</t>
  </si>
  <si>
    <r>
      <t>MISCELANEOUS</t>
    </r>
    <r>
      <rPr>
        <sz val="10"/>
        <rFont val="Calibri"/>
        <family val="2"/>
        <scheme val="minor"/>
      </rPr>
      <t>:</t>
    </r>
  </si>
  <si>
    <t>Receipts to Date</t>
  </si>
  <si>
    <t xml:space="preserve"> +/-</t>
  </si>
  <si>
    <t>TOTAL</t>
  </si>
  <si>
    <t>2019 six month review</t>
  </si>
  <si>
    <t>Yearly Revenue to Expenses</t>
  </si>
  <si>
    <t>All sources of income</t>
  </si>
  <si>
    <t>All expenses</t>
  </si>
  <si>
    <t>Organist - $65/week =&gt; $50/week</t>
  </si>
  <si>
    <t>Salary ($10.75/hr @ 1,040 hours)</t>
  </si>
  <si>
    <t>2019 "ACTUAL"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</si>
</sst>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sz val="12"/>
      <color rgb="FF00000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3"/>
      <name val="Bookman Old Style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5" fillId="0" borderId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</cellStyleXfs>
  <cellXfs count="225">
    <xf numFmtId="0" fontId="0" fillId="0" borderId="0" xfId="0"/>
    <xf numFmtId="0" fontId="1" fillId="0" borderId="0" xfId="0" applyFont="1"/>
    <xf numFmtId="17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64" fontId="0" fillId="0" borderId="0" xfId="0" applyNumberFormat="1" applyFont="1" applyAlignment="1">
      <alignment wrapText="1"/>
    </xf>
    <xf numFmtId="0" fontId="9" fillId="0" borderId="2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8" fillId="0" borderId="4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left"/>
    </xf>
    <xf numFmtId="0" fontId="8" fillId="0" borderId="7" xfId="1" applyFont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9" fillId="0" borderId="3" xfId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164" fontId="4" fillId="0" borderId="0" xfId="0" applyNumberFormat="1" applyFont="1"/>
    <xf numFmtId="0" fontId="9" fillId="0" borderId="8" xfId="1" applyFont="1" applyBorder="1" applyAlignment="1">
      <alignment horizontal="left" wrapText="1"/>
    </xf>
    <xf numFmtId="4" fontId="9" fillId="0" borderId="8" xfId="1" applyNumberFormat="1" applyFont="1" applyBorder="1" applyAlignment="1">
      <alignment horizontal="left" wrapText="1"/>
    </xf>
    <xf numFmtId="4" fontId="9" fillId="0" borderId="8" xfId="1" applyNumberFormat="1" applyFont="1" applyBorder="1" applyAlignment="1">
      <alignment horizontal="right" wrapText="1"/>
    </xf>
    <xf numFmtId="0" fontId="9" fillId="0" borderId="8" xfId="1" applyFont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0" fontId="9" fillId="3" borderId="8" xfId="0" applyFont="1" applyFill="1" applyBorder="1" applyAlignment="1">
      <alignment horizontal="right" wrapText="1"/>
    </xf>
    <xf numFmtId="0" fontId="8" fillId="0" borderId="8" xfId="1" applyFont="1" applyBorder="1" applyAlignment="1">
      <alignment horizontal="left" wrapText="1"/>
    </xf>
    <xf numFmtId="0" fontId="8" fillId="0" borderId="8" xfId="1" applyFont="1" applyBorder="1" applyAlignment="1">
      <alignment horizontal="right" wrapText="1"/>
    </xf>
    <xf numFmtId="0" fontId="8" fillId="3" borderId="8" xfId="0" applyFont="1" applyFill="1" applyBorder="1" applyAlignment="1">
      <alignment horizontal="right" wrapText="1"/>
    </xf>
    <xf numFmtId="0" fontId="8" fillId="2" borderId="8" xfId="0" applyFont="1" applyFill="1" applyBorder="1" applyAlignment="1">
      <alignment horizontal="right" wrapText="1"/>
    </xf>
    <xf numFmtId="4" fontId="8" fillId="0" borderId="8" xfId="1" applyNumberFormat="1" applyFont="1" applyBorder="1" applyAlignment="1">
      <alignment horizontal="left" wrapText="1"/>
    </xf>
    <xf numFmtId="4" fontId="8" fillId="0" borderId="8" xfId="1" applyNumberFormat="1" applyFont="1" applyBorder="1" applyAlignment="1">
      <alignment horizontal="right" wrapText="1"/>
    </xf>
    <xf numFmtId="4" fontId="8" fillId="2" borderId="8" xfId="0" applyNumberFormat="1" applyFont="1" applyFill="1" applyBorder="1" applyAlignment="1">
      <alignment horizontal="right" wrapText="1"/>
    </xf>
    <xf numFmtId="4" fontId="8" fillId="3" borderId="8" xfId="0" applyNumberFormat="1" applyFont="1" applyFill="1" applyBorder="1" applyAlignment="1">
      <alignment horizontal="right" wrapText="1"/>
    </xf>
    <xf numFmtId="4" fontId="10" fillId="0" borderId="8" xfId="1" applyNumberFormat="1" applyFont="1" applyBorder="1" applyAlignment="1">
      <alignment horizontal="left" wrapText="1"/>
    </xf>
    <xf numFmtId="4" fontId="10" fillId="0" borderId="8" xfId="1" applyNumberFormat="1" applyFont="1" applyBorder="1" applyAlignment="1">
      <alignment horizontal="right" wrapText="1"/>
    </xf>
    <xf numFmtId="4" fontId="11" fillId="0" borderId="8" xfId="1" applyNumberFormat="1" applyFont="1" applyBorder="1" applyAlignment="1">
      <alignment horizontal="left" wrapText="1"/>
    </xf>
    <xf numFmtId="4" fontId="11" fillId="0" borderId="8" xfId="1" applyNumberFormat="1" applyFont="1" applyBorder="1" applyAlignment="1">
      <alignment horizontal="right" wrapText="1"/>
    </xf>
    <xf numFmtId="4" fontId="12" fillId="0" borderId="8" xfId="1" applyNumberFormat="1" applyFont="1" applyBorder="1" applyAlignment="1">
      <alignment horizontal="left" wrapText="1"/>
    </xf>
    <xf numFmtId="4" fontId="12" fillId="0" borderId="8" xfId="1" applyNumberFormat="1" applyFont="1" applyBorder="1" applyAlignment="1">
      <alignment horizontal="right" wrapText="1"/>
    </xf>
    <xf numFmtId="4" fontId="13" fillId="0" borderId="8" xfId="1" applyNumberFormat="1" applyFont="1" applyBorder="1" applyAlignment="1">
      <alignment horizontal="left" wrapText="1"/>
    </xf>
    <xf numFmtId="4" fontId="13" fillId="0" borderId="8" xfId="1" applyNumberFormat="1" applyFont="1" applyBorder="1" applyAlignment="1">
      <alignment horizontal="right" wrapText="1"/>
    </xf>
    <xf numFmtId="8" fontId="8" fillId="2" borderId="8" xfId="0" applyNumberFormat="1" applyFont="1" applyFill="1" applyBorder="1" applyAlignment="1">
      <alignment horizontal="right" wrapText="1"/>
    </xf>
    <xf numFmtId="8" fontId="8" fillId="3" borderId="8" xfId="0" applyNumberFormat="1" applyFont="1" applyFill="1" applyBorder="1" applyAlignment="1">
      <alignment horizontal="right" wrapText="1"/>
    </xf>
    <xf numFmtId="164" fontId="13" fillId="0" borderId="8" xfId="1" applyNumberFormat="1" applyFont="1" applyBorder="1" applyAlignment="1">
      <alignment horizontal="left" wrapText="1"/>
    </xf>
    <xf numFmtId="164" fontId="13" fillId="0" borderId="8" xfId="1" applyNumberFormat="1" applyFont="1" applyBorder="1" applyAlignment="1">
      <alignment horizontal="right" wrapText="1"/>
    </xf>
    <xf numFmtId="164" fontId="8" fillId="0" borderId="8" xfId="1" applyNumberFormat="1" applyFont="1" applyBorder="1" applyAlignment="1">
      <alignment horizontal="left" wrapText="1"/>
    </xf>
    <xf numFmtId="164" fontId="8" fillId="0" borderId="8" xfId="1" applyNumberFormat="1" applyFont="1" applyBorder="1" applyAlignment="1">
      <alignment horizontal="right" wrapText="1"/>
    </xf>
    <xf numFmtId="0" fontId="9" fillId="5" borderId="8" xfId="1" applyFont="1" applyFill="1" applyBorder="1" applyAlignment="1">
      <alignment horizontal="left" wrapText="1"/>
    </xf>
    <xf numFmtId="0" fontId="8" fillId="5" borderId="8" xfId="1" applyFont="1" applyFill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0" fontId="8" fillId="0" borderId="8" xfId="0" applyFont="1" applyBorder="1" applyAlignment="1">
      <alignment horizontal="right" wrapText="1"/>
    </xf>
    <xf numFmtId="0" fontId="6" fillId="4" borderId="8" xfId="0" applyFont="1" applyFill="1" applyBorder="1" applyAlignment="1">
      <alignment horizontal="right" wrapText="1"/>
    </xf>
    <xf numFmtId="0" fontId="7" fillId="4" borderId="8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right" wrapText="1"/>
    </xf>
    <xf numFmtId="0" fontId="9" fillId="0" borderId="8" xfId="0" applyFont="1" applyBorder="1" applyAlignment="1">
      <alignment horizontal="left" wrapText="1"/>
    </xf>
    <xf numFmtId="0" fontId="10" fillId="0" borderId="8" xfId="1" applyFont="1" applyBorder="1" applyAlignment="1">
      <alignment horizontal="left" wrapText="1"/>
    </xf>
    <xf numFmtId="4" fontId="8" fillId="0" borderId="8" xfId="0" applyNumberFormat="1" applyFont="1" applyBorder="1" applyAlignment="1">
      <alignment horizontal="left" wrapText="1"/>
    </xf>
    <xf numFmtId="0" fontId="8" fillId="5" borderId="8" xfId="0" applyFont="1" applyFill="1" applyBorder="1" applyAlignment="1">
      <alignment horizontal="left" wrapText="1"/>
    </xf>
    <xf numFmtId="4" fontId="18" fillId="0" borderId="0" xfId="0" applyNumberFormat="1" applyFont="1"/>
    <xf numFmtId="0" fontId="18" fillId="0" borderId="0" xfId="0" applyFont="1"/>
    <xf numFmtId="0" fontId="19" fillId="0" borderId="0" xfId="0" applyFont="1"/>
    <xf numFmtId="4" fontId="19" fillId="0" borderId="0" xfId="0" applyNumberFormat="1" applyFont="1"/>
    <xf numFmtId="0" fontId="20" fillId="0" borderId="0" xfId="0" applyFont="1"/>
    <xf numFmtId="4" fontId="21" fillId="0" borderId="0" xfId="0" applyNumberFormat="1" applyFont="1"/>
    <xf numFmtId="0" fontId="21" fillId="0" borderId="0" xfId="0" applyFont="1"/>
    <xf numFmtId="8" fontId="21" fillId="0" borderId="0" xfId="0" applyNumberFormat="1" applyFont="1"/>
    <xf numFmtId="4" fontId="22" fillId="0" borderId="0" xfId="0" applyNumberFormat="1" applyFont="1"/>
    <xf numFmtId="0" fontId="22" fillId="0" borderId="0" xfId="0" applyFont="1"/>
    <xf numFmtId="164" fontId="23" fillId="5" borderId="8" xfId="1" applyNumberFormat="1" applyFont="1" applyFill="1" applyBorder="1" applyAlignment="1">
      <alignment horizontal="left" wrapText="1"/>
    </xf>
    <xf numFmtId="164" fontId="23" fillId="0" borderId="8" xfId="1" applyNumberFormat="1" applyFont="1" applyBorder="1" applyAlignment="1">
      <alignment horizontal="left" wrapText="1"/>
    </xf>
    <xf numFmtId="164" fontId="24" fillId="5" borderId="8" xfId="1" applyNumberFormat="1" applyFont="1" applyFill="1" applyBorder="1" applyAlignment="1">
      <alignment horizontal="left" wrapText="1"/>
    </xf>
    <xf numFmtId="164" fontId="24" fillId="0" borderId="8" xfId="1" applyNumberFormat="1" applyFont="1" applyBorder="1" applyAlignment="1">
      <alignment horizontal="left" wrapText="1"/>
    </xf>
    <xf numFmtId="164" fontId="23" fillId="0" borderId="9" xfId="1" applyNumberFormat="1" applyFont="1" applyBorder="1" applyAlignment="1">
      <alignment horizontal="left" wrapText="1"/>
    </xf>
    <xf numFmtId="164" fontId="24" fillId="0" borderId="9" xfId="1" applyNumberFormat="1" applyFont="1" applyBorder="1" applyAlignment="1">
      <alignment horizontal="left" wrapText="1"/>
    </xf>
    <xf numFmtId="164" fontId="25" fillId="0" borderId="9" xfId="1" applyNumberFormat="1" applyFont="1" applyBorder="1" applyAlignment="1">
      <alignment horizontal="left" wrapText="1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wrapText="1"/>
    </xf>
    <xf numFmtId="164" fontId="0" fillId="0" borderId="9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 vertical="center"/>
    </xf>
    <xf numFmtId="0" fontId="0" fillId="0" borderId="10" xfId="0" applyBorder="1"/>
    <xf numFmtId="0" fontId="1" fillId="0" borderId="10" xfId="0" applyFont="1" applyBorder="1"/>
    <xf numFmtId="17" fontId="1" fillId="0" borderId="10" xfId="0" applyNumberFormat="1" applyFont="1" applyBorder="1"/>
    <xf numFmtId="164" fontId="0" fillId="0" borderId="10" xfId="0" applyNumberFormat="1" applyFont="1" applyBorder="1"/>
    <xf numFmtId="164" fontId="0" fillId="0" borderId="10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 vertical="center"/>
    </xf>
    <xf numFmtId="164" fontId="1" fillId="0" borderId="10" xfId="0" applyNumberFormat="1" applyFont="1" applyBorder="1"/>
    <xf numFmtId="0" fontId="0" fillId="4" borderId="0" xfId="0" applyFill="1"/>
    <xf numFmtId="0" fontId="8" fillId="0" borderId="0" xfId="1" applyFont="1" applyFill="1" applyBorder="1" applyAlignment="1">
      <alignment horizontal="left" wrapText="1"/>
    </xf>
    <xf numFmtId="164" fontId="24" fillId="5" borderId="11" xfId="1" applyNumberFormat="1" applyFont="1" applyFill="1" applyBorder="1" applyAlignment="1">
      <alignment horizontal="center" wrapText="1"/>
    </xf>
    <xf numFmtId="0" fontId="23" fillId="5" borderId="8" xfId="1" applyFont="1" applyFill="1" applyBorder="1" applyAlignment="1">
      <alignment horizontal="left" wrapText="1"/>
    </xf>
    <xf numFmtId="164" fontId="25" fillId="5" borderId="8" xfId="1" applyNumberFormat="1" applyFont="1" applyFill="1" applyBorder="1" applyAlignment="1">
      <alignment horizontal="center" wrapText="1"/>
    </xf>
    <xf numFmtId="164" fontId="23" fillId="5" borderId="8" xfId="1" applyNumberFormat="1" applyFont="1" applyFill="1" applyBorder="1" applyAlignment="1">
      <alignment horizontal="center" wrapText="1"/>
    </xf>
    <xf numFmtId="4" fontId="23" fillId="5" borderId="8" xfId="1" applyNumberFormat="1" applyFont="1" applyFill="1" applyBorder="1" applyAlignment="1">
      <alignment horizontal="left" wrapText="1"/>
    </xf>
    <xf numFmtId="0" fontId="25" fillId="5" borderId="8" xfId="1" applyFont="1" applyFill="1" applyBorder="1" applyAlignment="1">
      <alignment horizontal="left" wrapText="1"/>
    </xf>
    <xf numFmtId="164" fontId="23" fillId="5" borderId="11" xfId="1" applyNumberFormat="1" applyFont="1" applyFill="1" applyBorder="1" applyAlignment="1">
      <alignment horizontal="center" wrapText="1"/>
    </xf>
    <xf numFmtId="4" fontId="25" fillId="5" borderId="8" xfId="1" applyNumberFormat="1" applyFont="1" applyFill="1" applyBorder="1" applyAlignment="1">
      <alignment horizontal="left" wrapText="1"/>
    </xf>
    <xf numFmtId="164" fontId="24" fillId="5" borderId="8" xfId="1" applyNumberFormat="1" applyFont="1" applyFill="1" applyBorder="1" applyAlignment="1">
      <alignment horizontal="center" wrapText="1"/>
    </xf>
    <xf numFmtId="164" fontId="23" fillId="5" borderId="8" xfId="1" applyNumberFormat="1" applyFont="1" applyFill="1" applyBorder="1" applyAlignment="1">
      <alignment horizontal="left" shrinkToFit="1"/>
    </xf>
    <xf numFmtId="4" fontId="26" fillId="5" borderId="8" xfId="1" applyNumberFormat="1" applyFont="1" applyFill="1" applyBorder="1" applyAlignment="1">
      <alignment horizontal="left" wrapText="1"/>
    </xf>
    <xf numFmtId="4" fontId="27" fillId="5" borderId="8" xfId="1" applyNumberFormat="1" applyFont="1" applyFill="1" applyBorder="1" applyAlignment="1">
      <alignment horizontal="left" wrapText="1"/>
    </xf>
    <xf numFmtId="164" fontId="25" fillId="5" borderId="8" xfId="1" applyNumberFormat="1" applyFont="1" applyFill="1" applyBorder="1" applyAlignment="1">
      <alignment horizontal="left" wrapText="1"/>
    </xf>
    <xf numFmtId="164" fontId="25" fillId="5" borderId="8" xfId="1" applyNumberFormat="1" applyFont="1" applyFill="1" applyBorder="1" applyAlignment="1">
      <alignment horizontal="left" shrinkToFit="1"/>
    </xf>
    <xf numFmtId="164" fontId="8" fillId="5" borderId="8" xfId="0" applyNumberFormat="1" applyFont="1" applyFill="1" applyBorder="1" applyAlignment="1">
      <alignment horizontal="left" wrapText="1"/>
    </xf>
    <xf numFmtId="164" fontId="4" fillId="0" borderId="9" xfId="1" applyNumberFormat="1" applyFont="1" applyBorder="1" applyAlignment="1">
      <alignment horizontal="left" wrapText="1"/>
    </xf>
    <xf numFmtId="4" fontId="28" fillId="0" borderId="8" xfId="1" applyNumberFormat="1" applyFont="1" applyBorder="1" applyAlignment="1">
      <alignment horizontal="left" wrapText="1"/>
    </xf>
    <xf numFmtId="0" fontId="8" fillId="0" borderId="12" xfId="1" applyFont="1" applyBorder="1" applyAlignment="1">
      <alignment horizontal="left" shrinkToFit="1"/>
    </xf>
    <xf numFmtId="0" fontId="9" fillId="0" borderId="12" xfId="1" applyFont="1" applyBorder="1" applyAlignment="1">
      <alignment horizontal="left" shrinkToFit="1"/>
    </xf>
    <xf numFmtId="0" fontId="8" fillId="0" borderId="12" xfId="1" applyFont="1" applyFill="1" applyBorder="1" applyAlignment="1">
      <alignment horizontal="left" shrinkToFit="1"/>
    </xf>
    <xf numFmtId="0" fontId="9" fillId="0" borderId="12" xfId="1" applyFont="1" applyBorder="1" applyAlignment="1">
      <alignment horizontal="left" wrapText="1" shrinkToFit="1"/>
    </xf>
    <xf numFmtId="0" fontId="8" fillId="0" borderId="12" xfId="0" applyFont="1" applyBorder="1" applyAlignment="1">
      <alignment horizontal="left" shrinkToFit="1"/>
    </xf>
    <xf numFmtId="0" fontId="8" fillId="0" borderId="12" xfId="0" applyFont="1" applyBorder="1" applyAlignment="1">
      <alignment horizontal="left" wrapText="1"/>
    </xf>
    <xf numFmtId="0" fontId="23" fillId="0" borderId="12" xfId="0" applyFont="1" applyBorder="1" applyAlignment="1">
      <alignment horizontal="left" wrapText="1"/>
    </xf>
    <xf numFmtId="0" fontId="23" fillId="0" borderId="12" xfId="0" applyFont="1" applyBorder="1" applyAlignment="1">
      <alignment horizontal="left" shrinkToFit="1"/>
    </xf>
    <xf numFmtId="4" fontId="8" fillId="0" borderId="12" xfId="1" applyNumberFormat="1" applyFont="1" applyBorder="1" applyAlignment="1">
      <alignment horizontal="left" wrapText="1"/>
    </xf>
    <xf numFmtId="4" fontId="9" fillId="0" borderId="12" xfId="1" applyNumberFormat="1" applyFont="1" applyBorder="1" applyAlignment="1">
      <alignment horizontal="left" wrapText="1"/>
    </xf>
    <xf numFmtId="164" fontId="23" fillId="5" borderId="13" xfId="1" applyNumberFormat="1" applyFont="1" applyFill="1" applyBorder="1" applyAlignment="1">
      <alignment horizontal="center" wrapText="1"/>
    </xf>
    <xf numFmtId="164" fontId="24" fillId="5" borderId="13" xfId="1" applyNumberFormat="1" applyFont="1" applyFill="1" applyBorder="1" applyAlignment="1">
      <alignment horizontal="center" wrapText="1"/>
    </xf>
    <xf numFmtId="164" fontId="25" fillId="5" borderId="13" xfId="1" applyNumberFormat="1" applyFont="1" applyFill="1" applyBorder="1" applyAlignment="1">
      <alignment horizontal="center" wrapText="1"/>
    </xf>
    <xf numFmtId="4" fontId="23" fillId="5" borderId="12" xfId="1" applyNumberFormat="1" applyFont="1" applyFill="1" applyBorder="1" applyAlignment="1">
      <alignment horizontal="left" wrapText="1"/>
    </xf>
    <xf numFmtId="164" fontId="23" fillId="5" borderId="12" xfId="1" applyNumberFormat="1" applyFont="1" applyFill="1" applyBorder="1" applyAlignment="1">
      <alignment horizontal="center" wrapText="1"/>
    </xf>
    <xf numFmtId="164" fontId="24" fillId="5" borderId="12" xfId="1" applyNumberFormat="1" applyFont="1" applyFill="1" applyBorder="1" applyAlignment="1">
      <alignment horizontal="center" wrapText="1"/>
    </xf>
    <xf numFmtId="164" fontId="25" fillId="5" borderId="12" xfId="1" applyNumberFormat="1" applyFont="1" applyFill="1" applyBorder="1" applyAlignment="1">
      <alignment horizontal="center" wrapText="1"/>
    </xf>
    <xf numFmtId="164" fontId="23" fillId="5" borderId="14" xfId="1" applyNumberFormat="1" applyFont="1" applyFill="1" applyBorder="1" applyAlignment="1">
      <alignment horizontal="center" wrapText="1"/>
    </xf>
    <xf numFmtId="164" fontId="23" fillId="5" borderId="15" xfId="1" applyNumberFormat="1" applyFont="1" applyFill="1" applyBorder="1" applyAlignment="1">
      <alignment horizontal="center" wrapText="1"/>
    </xf>
    <xf numFmtId="164" fontId="23" fillId="5" borderId="12" xfId="1" applyNumberFormat="1" applyFont="1" applyFill="1" applyBorder="1" applyAlignment="1">
      <alignment horizontal="left" wrapText="1"/>
    </xf>
    <xf numFmtId="164" fontId="26" fillId="5" borderId="12" xfId="1" applyNumberFormat="1" applyFont="1" applyFill="1" applyBorder="1" applyAlignment="1">
      <alignment horizontal="center" wrapText="1"/>
    </xf>
    <xf numFmtId="4" fontId="13" fillId="0" borderId="12" xfId="1" applyNumberFormat="1" applyFont="1" applyBorder="1" applyAlignment="1">
      <alignment horizontal="left" wrapText="1"/>
    </xf>
    <xf numFmtId="4" fontId="8" fillId="0" borderId="12" xfId="0" applyNumberFormat="1" applyFont="1" applyBorder="1" applyAlignment="1">
      <alignment horizontal="left" wrapText="1"/>
    </xf>
    <xf numFmtId="164" fontId="23" fillId="0" borderId="12" xfId="1" applyNumberFormat="1" applyFont="1" applyBorder="1" applyAlignment="1">
      <alignment horizontal="left" wrapText="1"/>
    </xf>
    <xf numFmtId="4" fontId="10" fillId="0" borderId="12" xfId="1" applyNumberFormat="1" applyFont="1" applyBorder="1" applyAlignment="1">
      <alignment horizontal="left" wrapText="1"/>
    </xf>
    <xf numFmtId="164" fontId="24" fillId="0" borderId="12" xfId="1" applyNumberFormat="1" applyFont="1" applyBorder="1" applyAlignment="1">
      <alignment horizontal="left" wrapText="1"/>
    </xf>
    <xf numFmtId="164" fontId="23" fillId="0" borderId="14" xfId="1" applyNumberFormat="1" applyFont="1" applyBorder="1" applyAlignment="1">
      <alignment horizontal="left" wrapText="1"/>
    </xf>
    <xf numFmtId="164" fontId="23" fillId="0" borderId="15" xfId="1" applyNumberFormat="1" applyFont="1" applyBorder="1" applyAlignment="1">
      <alignment horizontal="left" wrapText="1"/>
    </xf>
    <xf numFmtId="4" fontId="12" fillId="0" borderId="12" xfId="1" applyNumberFormat="1" applyFont="1" applyBorder="1" applyAlignment="1">
      <alignment horizontal="left" wrapText="1"/>
    </xf>
    <xf numFmtId="4" fontId="8" fillId="5" borderId="12" xfId="1" applyNumberFormat="1" applyFont="1" applyFill="1" applyBorder="1" applyAlignment="1">
      <alignment horizontal="left" wrapText="1"/>
    </xf>
    <xf numFmtId="3" fontId="8" fillId="0" borderId="12" xfId="1" applyNumberFormat="1" applyFont="1" applyBorder="1" applyAlignment="1">
      <alignment horizontal="left" wrapText="1"/>
    </xf>
    <xf numFmtId="3" fontId="9" fillId="0" borderId="12" xfId="1" applyNumberFormat="1" applyFont="1" applyBorder="1" applyAlignment="1">
      <alignment horizontal="left" wrapText="1"/>
    </xf>
    <xf numFmtId="3" fontId="10" fillId="0" borderId="12" xfId="1" applyNumberFormat="1" applyFont="1" applyBorder="1" applyAlignment="1">
      <alignment horizontal="left" wrapText="1"/>
    </xf>
    <xf numFmtId="0" fontId="8" fillId="0" borderId="12" xfId="1" applyFont="1" applyBorder="1" applyAlignment="1">
      <alignment horizontal="left" wrapText="1"/>
    </xf>
    <xf numFmtId="3" fontId="12" fillId="0" borderId="12" xfId="1" applyNumberFormat="1" applyFont="1" applyBorder="1" applyAlignment="1">
      <alignment horizontal="left" wrapText="1"/>
    </xf>
    <xf numFmtId="3" fontId="13" fillId="0" borderId="12" xfId="1" applyNumberFormat="1" applyFont="1" applyBorder="1" applyAlignment="1">
      <alignment horizontal="left" wrapText="1"/>
    </xf>
    <xf numFmtId="4" fontId="14" fillId="0" borderId="12" xfId="1" applyNumberFormat="1" applyFont="1" applyBorder="1" applyAlignment="1">
      <alignment horizontal="left" wrapText="1"/>
    </xf>
    <xf numFmtId="164" fontId="8" fillId="5" borderId="16" xfId="1" applyNumberFormat="1" applyFont="1" applyFill="1" applyBorder="1" applyAlignment="1">
      <alignment horizontal="left" wrapText="1"/>
    </xf>
    <xf numFmtId="164" fontId="8" fillId="0" borderId="16" xfId="1" applyNumberFormat="1" applyFont="1" applyBorder="1" applyAlignment="1">
      <alignment horizontal="center" wrapText="1"/>
    </xf>
    <xf numFmtId="164" fontId="25" fillId="5" borderId="16" xfId="1" applyNumberFormat="1" applyFont="1" applyFill="1" applyBorder="1" applyAlignment="1">
      <alignment horizontal="left" wrapText="1"/>
    </xf>
    <xf numFmtId="164" fontId="23" fillId="5" borderId="16" xfId="1" applyNumberFormat="1" applyFont="1" applyFill="1" applyBorder="1" applyAlignment="1">
      <alignment horizontal="left" wrapText="1"/>
    </xf>
    <xf numFmtId="164" fontId="23" fillId="5" borderId="16" xfId="1" applyNumberFormat="1" applyFont="1" applyFill="1" applyBorder="1" applyAlignment="1">
      <alignment horizontal="center" wrapText="1"/>
    </xf>
    <xf numFmtId="164" fontId="24" fillId="5" borderId="16" xfId="1" applyNumberFormat="1" applyFont="1" applyFill="1" applyBorder="1" applyAlignment="1">
      <alignment horizontal="center" wrapText="1"/>
    </xf>
    <xf numFmtId="164" fontId="25" fillId="5" borderId="16" xfId="1" applyNumberFormat="1" applyFont="1" applyFill="1" applyBorder="1" applyAlignment="1">
      <alignment horizontal="center" wrapText="1"/>
    </xf>
    <xf numFmtId="164" fontId="25" fillId="5" borderId="16" xfId="1" applyNumberFormat="1" applyFont="1" applyFill="1" applyBorder="1" applyAlignment="1">
      <alignment horizontal="left" shrinkToFit="1"/>
    </xf>
    <xf numFmtId="4" fontId="13" fillId="0" borderId="16" xfId="1" applyNumberFormat="1" applyFont="1" applyBorder="1" applyAlignment="1">
      <alignment horizontal="left" wrapText="1"/>
    </xf>
    <xf numFmtId="164" fontId="8" fillId="5" borderId="16" xfId="0" applyNumberFormat="1" applyFont="1" applyFill="1" applyBorder="1" applyAlignment="1">
      <alignment horizontal="left" wrapText="1"/>
    </xf>
    <xf numFmtId="0" fontId="8" fillId="5" borderId="16" xfId="0" applyFont="1" applyFill="1" applyBorder="1" applyAlignment="1">
      <alignment horizontal="left" wrapText="1"/>
    </xf>
    <xf numFmtId="0" fontId="8" fillId="5" borderId="16" xfId="1" applyFont="1" applyFill="1" applyBorder="1" applyAlignment="1">
      <alignment horizontal="left" wrapText="1"/>
    </xf>
    <xf numFmtId="0" fontId="9" fillId="5" borderId="16" xfId="1" applyFont="1" applyFill="1" applyBorder="1" applyAlignment="1">
      <alignment horizontal="left" wrapText="1"/>
    </xf>
    <xf numFmtId="164" fontId="23" fillId="5" borderId="1" xfId="1" applyNumberFormat="1" applyFont="1" applyFill="1" applyBorder="1" applyAlignment="1">
      <alignment horizontal="center" wrapText="1"/>
    </xf>
    <xf numFmtId="164" fontId="24" fillId="5" borderId="1" xfId="1" applyNumberFormat="1" applyFont="1" applyFill="1" applyBorder="1" applyAlignment="1">
      <alignment horizontal="center" wrapText="1"/>
    </xf>
    <xf numFmtId="4" fontId="25" fillId="5" borderId="16" xfId="1" applyNumberFormat="1" applyFont="1" applyFill="1" applyBorder="1" applyAlignment="1">
      <alignment horizontal="left" wrapText="1"/>
    </xf>
    <xf numFmtId="4" fontId="23" fillId="5" borderId="16" xfId="1" applyNumberFormat="1" applyFont="1" applyFill="1" applyBorder="1" applyAlignment="1">
      <alignment horizontal="left" wrapText="1"/>
    </xf>
    <xf numFmtId="4" fontId="26" fillId="5" borderId="16" xfId="1" applyNumberFormat="1" applyFont="1" applyFill="1" applyBorder="1" applyAlignment="1">
      <alignment horizontal="left" wrapText="1"/>
    </xf>
    <xf numFmtId="4" fontId="27" fillId="5" borderId="16" xfId="1" applyNumberFormat="1" applyFont="1" applyFill="1" applyBorder="1" applyAlignment="1">
      <alignment horizontal="left" wrapText="1"/>
    </xf>
    <xf numFmtId="164" fontId="23" fillId="5" borderId="17" xfId="1" applyNumberFormat="1" applyFont="1" applyFill="1" applyBorder="1" applyAlignment="1">
      <alignment horizontal="left" wrapText="1"/>
    </xf>
    <xf numFmtId="164" fontId="24" fillId="5" borderId="17" xfId="1" applyNumberFormat="1" applyFont="1" applyFill="1" applyBorder="1" applyAlignment="1">
      <alignment horizontal="left" wrapText="1"/>
    </xf>
    <xf numFmtId="164" fontId="25" fillId="5" borderId="17" xfId="1" applyNumberFormat="1" applyFont="1" applyFill="1" applyBorder="1" applyAlignment="1">
      <alignment horizontal="left" wrapText="1"/>
    </xf>
    <xf numFmtId="4" fontId="8" fillId="0" borderId="16" xfId="1" applyNumberFormat="1" applyFont="1" applyBorder="1" applyAlignment="1">
      <alignment horizontal="left" wrapText="1"/>
    </xf>
    <xf numFmtId="4" fontId="8" fillId="0" borderId="16" xfId="0" applyNumberFormat="1" applyFont="1" applyBorder="1" applyAlignment="1">
      <alignment horizontal="left" wrapText="1"/>
    </xf>
    <xf numFmtId="4" fontId="8" fillId="5" borderId="16" xfId="1" applyNumberFormat="1" applyFont="1" applyFill="1" applyBorder="1" applyAlignment="1">
      <alignment horizontal="left" wrapText="1"/>
    </xf>
    <xf numFmtId="0" fontId="8" fillId="0" borderId="16" xfId="1" applyFont="1" applyBorder="1" applyAlignment="1">
      <alignment horizontal="left" wrapText="1"/>
    </xf>
    <xf numFmtId="3" fontId="8" fillId="0" borderId="16" xfId="1" applyNumberFormat="1" applyFont="1" applyBorder="1" applyAlignment="1">
      <alignment horizontal="left" wrapText="1"/>
    </xf>
    <xf numFmtId="3" fontId="9" fillId="0" borderId="16" xfId="1" applyNumberFormat="1" applyFont="1" applyBorder="1" applyAlignment="1">
      <alignment horizontal="left" wrapText="1"/>
    </xf>
    <xf numFmtId="3" fontId="10" fillId="0" borderId="16" xfId="1" applyNumberFormat="1" applyFont="1" applyBorder="1" applyAlignment="1">
      <alignment horizontal="left" wrapText="1"/>
    </xf>
    <xf numFmtId="3" fontId="12" fillId="0" borderId="16" xfId="1" applyNumberFormat="1" applyFont="1" applyBorder="1" applyAlignment="1">
      <alignment horizontal="left" wrapText="1"/>
    </xf>
    <xf numFmtId="3" fontId="13" fillId="0" borderId="16" xfId="1" applyNumberFormat="1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4" fontId="9" fillId="0" borderId="16" xfId="1" applyNumberFormat="1" applyFont="1" applyBorder="1" applyAlignment="1">
      <alignment horizontal="left" wrapText="1"/>
    </xf>
    <xf numFmtId="4" fontId="10" fillId="0" borderId="16" xfId="1" applyNumberFormat="1" applyFont="1" applyBorder="1" applyAlignment="1">
      <alignment horizontal="left" wrapText="1"/>
    </xf>
    <xf numFmtId="4" fontId="11" fillId="0" borderId="16" xfId="1" applyNumberFormat="1" applyFont="1" applyBorder="1" applyAlignment="1">
      <alignment horizontal="left" wrapText="1"/>
    </xf>
    <xf numFmtId="4" fontId="12" fillId="0" borderId="16" xfId="1" applyNumberFormat="1" applyFont="1" applyBorder="1" applyAlignment="1">
      <alignment horizontal="left" wrapText="1"/>
    </xf>
    <xf numFmtId="0" fontId="8" fillId="4" borderId="0" xfId="1" applyFont="1" applyFill="1" applyBorder="1" applyAlignment="1">
      <alignment horizontal="left" wrapText="1"/>
    </xf>
    <xf numFmtId="0" fontId="9" fillId="4" borderId="0" xfId="1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6" fontId="8" fillId="4" borderId="0" xfId="0" applyNumberFormat="1" applyFont="1" applyFill="1" applyBorder="1" applyAlignment="1">
      <alignment horizontal="left" wrapText="1"/>
    </xf>
    <xf numFmtId="3" fontId="8" fillId="4" borderId="0" xfId="1" applyNumberFormat="1" applyFont="1" applyFill="1" applyBorder="1" applyAlignment="1">
      <alignment horizontal="left" wrapText="1"/>
    </xf>
    <xf numFmtId="3" fontId="9" fillId="4" borderId="0" xfId="1" applyNumberFormat="1" applyFont="1" applyFill="1" applyBorder="1" applyAlignment="1">
      <alignment horizontal="left" wrapText="1"/>
    </xf>
    <xf numFmtId="3" fontId="10" fillId="4" borderId="0" xfId="1" applyNumberFormat="1" applyFont="1" applyFill="1" applyBorder="1" applyAlignment="1">
      <alignment horizontal="left" wrapText="1"/>
    </xf>
    <xf numFmtId="3" fontId="12" fillId="4" borderId="0" xfId="1" applyNumberFormat="1" applyFont="1" applyFill="1" applyBorder="1" applyAlignment="1">
      <alignment horizontal="left" wrapText="1"/>
    </xf>
    <xf numFmtId="3" fontId="13" fillId="4" borderId="0" xfId="1" applyNumberFormat="1" applyFont="1" applyFill="1" applyBorder="1" applyAlignment="1">
      <alignment horizontal="left" wrapText="1"/>
    </xf>
    <xf numFmtId="4" fontId="9" fillId="4" borderId="0" xfId="1" applyNumberFormat="1" applyFont="1" applyFill="1" applyBorder="1" applyAlignment="1">
      <alignment horizontal="left" wrapText="1"/>
    </xf>
    <xf numFmtId="49" fontId="6" fillId="4" borderId="0" xfId="1" applyNumberFormat="1" applyFont="1" applyFill="1" applyBorder="1" applyAlignment="1">
      <alignment horizontal="left" wrapText="1"/>
    </xf>
    <xf numFmtId="49" fontId="7" fillId="4" borderId="0" xfId="1" applyNumberFormat="1" applyFont="1" applyFill="1" applyBorder="1" applyAlignment="1">
      <alignment horizontal="left" wrapText="1"/>
    </xf>
    <xf numFmtId="49" fontId="6" fillId="4" borderId="0" xfId="1" quotePrefix="1" applyNumberFormat="1" applyFont="1" applyFill="1" applyBorder="1" applyAlignment="1">
      <alignment horizontal="left" wrapText="1"/>
    </xf>
    <xf numFmtId="49" fontId="17" fillId="4" borderId="0" xfId="1" applyNumberFormat="1" applyFont="1" applyFill="1" applyBorder="1" applyAlignment="1">
      <alignment horizontal="left" wrapText="1"/>
    </xf>
    <xf numFmtId="0" fontId="6" fillId="4" borderId="0" xfId="1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  <xf numFmtId="0" fontId="9" fillId="0" borderId="12" xfId="1" applyFont="1" applyBorder="1" applyAlignment="1">
      <alignment horizontal="left" wrapText="1"/>
    </xf>
    <xf numFmtId="0" fontId="10" fillId="0" borderId="12" xfId="1" applyFont="1" applyBorder="1" applyAlignment="1">
      <alignment horizontal="left" wrapText="1"/>
    </xf>
    <xf numFmtId="164" fontId="8" fillId="5" borderId="12" xfId="0" applyNumberFormat="1" applyFont="1" applyFill="1" applyBorder="1" applyAlignment="1">
      <alignment horizontal="left" wrapText="1"/>
    </xf>
    <xf numFmtId="164" fontId="29" fillId="0" borderId="8" xfId="1" applyNumberFormat="1" applyFont="1" applyFill="1" applyBorder="1" applyAlignment="1">
      <alignment horizontal="center" shrinkToFit="1"/>
    </xf>
    <xf numFmtId="10" fontId="9" fillId="5" borderId="16" xfId="1" applyNumberFormat="1" applyFont="1" applyFill="1" applyBorder="1" applyAlignment="1">
      <alignment horizontal="left" wrapText="1"/>
    </xf>
    <xf numFmtId="10" fontId="8" fillId="5" borderId="16" xfId="1" applyNumberFormat="1" applyFont="1" applyFill="1" applyBorder="1" applyAlignment="1">
      <alignment horizontal="left" wrapText="1"/>
    </xf>
    <xf numFmtId="10" fontId="8" fillId="5" borderId="16" xfId="0" applyNumberFormat="1" applyFont="1" applyFill="1" applyBorder="1" applyAlignment="1">
      <alignment horizontal="left" wrapText="1"/>
    </xf>
    <xf numFmtId="10" fontId="8" fillId="0" borderId="0" xfId="1" applyNumberFormat="1" applyFont="1" applyBorder="1" applyAlignment="1">
      <alignment horizontal="center" vertical="center" wrapText="1"/>
    </xf>
    <xf numFmtId="10" fontId="23" fillId="5" borderId="16" xfId="1" applyNumberFormat="1" applyFont="1" applyFill="1" applyBorder="1" applyAlignment="1">
      <alignment horizontal="center" vertical="center" wrapText="1"/>
    </xf>
    <xf numFmtId="164" fontId="23" fillId="5" borderId="8" xfId="1" applyNumberFormat="1" applyFont="1" applyFill="1" applyBorder="1" applyAlignment="1">
      <alignment horizontal="center" shrinkToFit="1"/>
    </xf>
    <xf numFmtId="164" fontId="23" fillId="5" borderId="16" xfId="1" applyNumberFormat="1" applyFont="1" applyFill="1" applyBorder="1" applyAlignment="1">
      <alignment horizontal="center" shrinkToFit="1"/>
    </xf>
    <xf numFmtId="10" fontId="23" fillId="5" borderId="8" xfId="1" applyNumberFormat="1" applyFont="1" applyFill="1" applyBorder="1" applyAlignment="1">
      <alignment horizontal="left" wrapText="1"/>
    </xf>
    <xf numFmtId="2" fontId="23" fillId="5" borderId="8" xfId="1" applyNumberFormat="1" applyFont="1" applyFill="1" applyBorder="1" applyAlignment="1">
      <alignment horizontal="left" wrapText="1"/>
    </xf>
    <xf numFmtId="4" fontId="24" fillId="5" borderId="8" xfId="1" applyNumberFormat="1" applyFont="1" applyFill="1" applyBorder="1" applyAlignment="1">
      <alignment horizontal="left" wrapText="1"/>
    </xf>
    <xf numFmtId="164" fontId="4" fillId="5" borderId="8" xfId="1" applyNumberFormat="1" applyFont="1" applyFill="1" applyBorder="1" applyAlignment="1">
      <alignment horizontal="left" wrapText="1"/>
    </xf>
    <xf numFmtId="10" fontId="4" fillId="5" borderId="8" xfId="1" applyNumberFormat="1" applyFont="1" applyFill="1" applyBorder="1" applyAlignment="1">
      <alignment horizontal="left" wrapText="1"/>
    </xf>
    <xf numFmtId="10" fontId="25" fillId="5" borderId="8" xfId="1" applyNumberFormat="1" applyFont="1" applyFill="1" applyBorder="1" applyAlignment="1">
      <alignment horizontal="left" wrapText="1"/>
    </xf>
    <xf numFmtId="10" fontId="8" fillId="5" borderId="8" xfId="1" applyNumberFormat="1" applyFont="1" applyFill="1" applyBorder="1" applyAlignment="1">
      <alignment horizontal="left" wrapText="1"/>
    </xf>
    <xf numFmtId="10" fontId="8" fillId="5" borderId="8" xfId="0" applyNumberFormat="1" applyFont="1" applyFill="1" applyBorder="1" applyAlignment="1">
      <alignment horizontal="left" wrapText="1"/>
    </xf>
    <xf numFmtId="164" fontId="35" fillId="5" borderId="8" xfId="1" applyNumberFormat="1" applyFont="1" applyFill="1" applyBorder="1" applyAlignment="1">
      <alignment horizontal="left" wrapText="1"/>
    </xf>
    <xf numFmtId="164" fontId="35" fillId="5" borderId="8" xfId="0" applyNumberFormat="1" applyFont="1" applyFill="1" applyBorder="1" applyAlignment="1">
      <alignment horizontal="left" wrapText="1"/>
    </xf>
    <xf numFmtId="164" fontId="34" fillId="0" borderId="8" xfId="0" applyNumberFormat="1" applyFont="1" applyBorder="1" applyAlignment="1">
      <alignment horizontal="left" vertical="center"/>
    </xf>
    <xf numFmtId="0" fontId="0" fillId="0" borderId="0" xfId="0" quotePrefix="1" applyAlignment="1">
      <alignment horizontal="center"/>
    </xf>
    <xf numFmtId="164" fontId="36" fillId="7" borderId="0" xfId="3" applyNumberFormat="1" applyFont="1"/>
    <xf numFmtId="164" fontId="37" fillId="6" borderId="0" xfId="2" applyNumberFormat="1" applyFont="1"/>
    <xf numFmtId="2" fontId="23" fillId="5" borderId="16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8" fillId="8" borderId="12" xfId="1" applyFont="1" applyFill="1" applyBorder="1" applyAlignment="1">
      <alignment horizontal="left" shrinkToFit="1"/>
    </xf>
  </cellXfs>
  <cellStyles count="4">
    <cellStyle name="Bad" xfId="3" builtinId="27"/>
    <cellStyle name="Good" xfId="2" builtinId="26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 Fund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Income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Data!$DR$2:$DY$2</c:f>
              <c:numCache>
                <c:formatCode>mmm\-yy</c:formatCode>
                <c:ptCount val="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</c:numCache>
            </c:numRef>
          </c:cat>
          <c:val>
            <c:numRef>
              <c:f>Data!$DR$3:$DY$3</c:f>
              <c:numCache>
                <c:formatCode>"$"#,##0.00</c:formatCode>
                <c:ptCount val="8"/>
                <c:pt idx="0">
                  <c:v>5092</c:v>
                </c:pt>
                <c:pt idx="1">
                  <c:v>7753.51</c:v>
                </c:pt>
                <c:pt idx="2">
                  <c:v>8465.82</c:v>
                </c:pt>
                <c:pt idx="3">
                  <c:v>5309.5</c:v>
                </c:pt>
                <c:pt idx="4">
                  <c:v>7004</c:v>
                </c:pt>
                <c:pt idx="5">
                  <c:v>10615.6</c:v>
                </c:pt>
                <c:pt idx="6">
                  <c:v>6802</c:v>
                </c:pt>
                <c:pt idx="7">
                  <c:v>5523</c:v>
                </c:pt>
              </c:numCache>
            </c:numRef>
          </c:val>
          <c:smooth val="0"/>
        </c:ser>
        <c:ser>
          <c:idx val="1"/>
          <c:order val="1"/>
          <c:tx>
            <c:v>Expenses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Data!$DR$2:$DY$2</c:f>
              <c:numCache>
                <c:formatCode>mmm\-yy</c:formatCode>
                <c:ptCount val="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</c:numCache>
            </c:numRef>
          </c:cat>
          <c:val>
            <c:numRef>
              <c:f>Data!$DR$4:$DY$4</c:f>
              <c:numCache>
                <c:formatCode>"$"#,##0.00</c:formatCode>
                <c:ptCount val="8"/>
                <c:pt idx="0">
                  <c:v>6114.52</c:v>
                </c:pt>
                <c:pt idx="1">
                  <c:v>5214.2299999999996</c:v>
                </c:pt>
                <c:pt idx="2">
                  <c:v>6483.23</c:v>
                </c:pt>
                <c:pt idx="3">
                  <c:v>4914.8999999999996</c:v>
                </c:pt>
                <c:pt idx="4">
                  <c:v>6489.31</c:v>
                </c:pt>
                <c:pt idx="5">
                  <c:v>5875.4</c:v>
                </c:pt>
                <c:pt idx="6">
                  <c:v>5770.04</c:v>
                </c:pt>
                <c:pt idx="7">
                  <c:v>3453.38</c:v>
                </c:pt>
              </c:numCache>
            </c:numRef>
          </c:val>
          <c:smooth val="0"/>
        </c:ser>
        <c:ser>
          <c:idx val="2"/>
          <c:order val="2"/>
          <c:tx>
            <c:v>Net Revenue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f>Data!$DR$2:$DY$2</c:f>
              <c:numCache>
                <c:formatCode>mmm\-yy</c:formatCode>
                <c:ptCount val="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</c:numCache>
            </c:numRef>
          </c:cat>
          <c:val>
            <c:numRef>
              <c:f>Data!$DR$5:$DY$5</c:f>
              <c:numCache>
                <c:formatCode>"$"#,##0.00</c:formatCode>
                <c:ptCount val="8"/>
                <c:pt idx="0">
                  <c:v>-1022.5200000000004</c:v>
                </c:pt>
                <c:pt idx="1">
                  <c:v>2539.2800000000007</c:v>
                </c:pt>
                <c:pt idx="2">
                  <c:v>1982.5900000000001</c:v>
                </c:pt>
                <c:pt idx="3">
                  <c:v>394.60000000000036</c:v>
                </c:pt>
                <c:pt idx="4">
                  <c:v>514.6899999999996</c:v>
                </c:pt>
                <c:pt idx="5">
                  <c:v>4740.2000000000007</c:v>
                </c:pt>
                <c:pt idx="6">
                  <c:v>1031.96</c:v>
                </c:pt>
                <c:pt idx="7">
                  <c:v>2069.62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486768"/>
        <c:axId val="214487552"/>
      </c:lineChart>
      <c:dateAx>
        <c:axId val="2144867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87552"/>
        <c:crosses val="autoZero"/>
        <c:auto val="1"/>
        <c:lblOffset val="100"/>
        <c:baseTimeUnit val="months"/>
      </c:dateAx>
      <c:valAx>
        <c:axId val="21448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8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Building Fund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707705410995807E-2"/>
          <c:y val="0.1605831449286661"/>
          <c:w val="0.92429224528752085"/>
          <c:h val="0.80100915450136423"/>
        </c:manualLayout>
      </c:layout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Data!$DR$2:$DY$2</c:f>
              <c:numCache>
                <c:formatCode>mmm\-yy</c:formatCode>
                <c:ptCount val="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</c:numCache>
            </c:numRef>
          </c:cat>
          <c:val>
            <c:numRef>
              <c:f>Data!$DR$8:$DY$8</c:f>
              <c:numCache>
                <c:formatCode>"$"#,##0.00</c:formatCode>
                <c:ptCount val="8"/>
                <c:pt idx="0">
                  <c:v>120</c:v>
                </c:pt>
                <c:pt idx="1">
                  <c:v>230</c:v>
                </c:pt>
                <c:pt idx="2">
                  <c:v>184</c:v>
                </c:pt>
                <c:pt idx="3">
                  <c:v>6312</c:v>
                </c:pt>
                <c:pt idx="4">
                  <c:v>304.75</c:v>
                </c:pt>
                <c:pt idx="5">
                  <c:v>5093</c:v>
                </c:pt>
                <c:pt idx="6">
                  <c:v>2264</c:v>
                </c:pt>
                <c:pt idx="7">
                  <c:v>4054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Data!$A$9</c:f>
              <c:strCache>
                <c:ptCount val="1"/>
                <c:pt idx="0">
                  <c:v>Expenses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Data!$DR$2:$DY$2</c:f>
              <c:numCache>
                <c:formatCode>mmm\-yy</c:formatCode>
                <c:ptCount val="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</c:numCache>
            </c:numRef>
          </c:cat>
          <c:val>
            <c:numRef>
              <c:f>Data!$DR$9:$DY$9</c:f>
              <c:numCache>
                <c:formatCode>"$"#,##0.00</c:formatCode>
                <c:ptCount val="8"/>
                <c:pt idx="3">
                  <c:v>2303.1999999999998</c:v>
                </c:pt>
                <c:pt idx="4">
                  <c:v>542.63</c:v>
                </c:pt>
                <c:pt idx="6">
                  <c:v>7100</c:v>
                </c:pt>
                <c:pt idx="7">
                  <c:v>3314.38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Data!$A$10</c:f>
              <c:strCache>
                <c:ptCount val="1"/>
                <c:pt idx="0">
                  <c:v>Net Revenue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f>Data!$DR$2:$DY$2</c:f>
              <c:numCache>
                <c:formatCode>mmm\-yy</c:formatCode>
                <c:ptCount val="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</c:numCache>
            </c:numRef>
          </c:cat>
          <c:val>
            <c:numRef>
              <c:f>Data!$DR$10:$DY$10</c:f>
              <c:numCache>
                <c:formatCode>"$"#,##0.00</c:formatCode>
                <c:ptCount val="8"/>
                <c:pt idx="0">
                  <c:v>120</c:v>
                </c:pt>
                <c:pt idx="1">
                  <c:v>230</c:v>
                </c:pt>
                <c:pt idx="2">
                  <c:v>184</c:v>
                </c:pt>
                <c:pt idx="3">
                  <c:v>4008.8</c:v>
                </c:pt>
                <c:pt idx="4">
                  <c:v>-237.88</c:v>
                </c:pt>
                <c:pt idx="5">
                  <c:v>5093</c:v>
                </c:pt>
                <c:pt idx="6">
                  <c:v>-4836</c:v>
                </c:pt>
                <c:pt idx="7">
                  <c:v>739.61999999999989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488336"/>
        <c:axId val="214488728"/>
      </c:lineChart>
      <c:dateAx>
        <c:axId val="2144883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88728"/>
        <c:crosses val="autoZero"/>
        <c:auto val="1"/>
        <c:lblOffset val="100"/>
        <c:baseTimeUnit val="months"/>
      </c:dateAx>
      <c:valAx>
        <c:axId val="21448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8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353527313785359E-3"/>
          <c:y val="4.0046963161052523E-2"/>
          <c:w val="0.99349400951737954"/>
          <c:h val="0.80091486485337504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Data!$B$2:$FM$2</c:f>
              <c:numCache>
                <c:formatCode>mmm\-yy</c:formatCode>
                <c:ptCount val="16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Data!$B$22:$FM$22</c:f>
              <c:numCache>
                <c:formatCode>"$"#,##0.00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5589.08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-3959.670000000001</c:v>
                </c:pt>
                <c:pt idx="9">
                  <c:v>0</c:v>
                </c:pt>
                <c:pt idx="10">
                  <c:v>-1650.7200000000007</c:v>
                </c:pt>
                <c:pt idx="11">
                  <c:v>-2778.6200000000008</c:v>
                </c:pt>
                <c:pt idx="12">
                  <c:v>0</c:v>
                </c:pt>
                <c:pt idx="13">
                  <c:v>1750.94</c:v>
                </c:pt>
                <c:pt idx="14">
                  <c:v>-1090.7699999999998</c:v>
                </c:pt>
                <c:pt idx="15">
                  <c:v>0</c:v>
                </c:pt>
                <c:pt idx="16">
                  <c:v>1994.83</c:v>
                </c:pt>
                <c:pt idx="17">
                  <c:v>-407.53</c:v>
                </c:pt>
                <c:pt idx="18">
                  <c:v>390.43000000000006</c:v>
                </c:pt>
                <c:pt idx="19">
                  <c:v>3206.58</c:v>
                </c:pt>
                <c:pt idx="20">
                  <c:v>-1364.9299999999994</c:v>
                </c:pt>
                <c:pt idx="21">
                  <c:v>2262.970000000003</c:v>
                </c:pt>
                <c:pt idx="22">
                  <c:v>-968.16999999999985</c:v>
                </c:pt>
                <c:pt idx="23">
                  <c:v>1935.3600000000001</c:v>
                </c:pt>
                <c:pt idx="24">
                  <c:v>-3713.22</c:v>
                </c:pt>
                <c:pt idx="25">
                  <c:v>-2425.2200000000003</c:v>
                </c:pt>
                <c:pt idx="26">
                  <c:v>299.2999999999991</c:v>
                </c:pt>
                <c:pt idx="27">
                  <c:v>-6676.2000000000007</c:v>
                </c:pt>
                <c:pt idx="28">
                  <c:v>3002.1899999999996</c:v>
                </c:pt>
                <c:pt idx="29">
                  <c:v>-5493.2300000000014</c:v>
                </c:pt>
                <c:pt idx="30">
                  <c:v>1070.4900000000009</c:v>
                </c:pt>
                <c:pt idx="31">
                  <c:v>-3368.7100000000005</c:v>
                </c:pt>
                <c:pt idx="32">
                  <c:v>987.5400000000011</c:v>
                </c:pt>
                <c:pt idx="33">
                  <c:v>-1449.8799999999985</c:v>
                </c:pt>
                <c:pt idx="34">
                  <c:v>2201.3200000000011</c:v>
                </c:pt>
                <c:pt idx="35">
                  <c:v>-1463.2599999999993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3653.7400000000016</c:v>
                </c:pt>
                <c:pt idx="49">
                  <c:v>-3248.3299999999995</c:v>
                </c:pt>
                <c:pt idx="50">
                  <c:v>2615.4</c:v>
                </c:pt>
                <c:pt idx="51">
                  <c:v>3505.5499999999997</c:v>
                </c:pt>
                <c:pt idx="52">
                  <c:v>4860.2</c:v>
                </c:pt>
                <c:pt idx="53">
                  <c:v>0</c:v>
                </c:pt>
                <c:pt idx="54">
                  <c:v>-6669.9</c:v>
                </c:pt>
                <c:pt idx="55">
                  <c:v>-1289.92</c:v>
                </c:pt>
                <c:pt idx="56">
                  <c:v>-3787.2299999999996</c:v>
                </c:pt>
                <c:pt idx="57">
                  <c:v>6038.56</c:v>
                </c:pt>
                <c:pt idx="58">
                  <c:v>284.03999999999974</c:v>
                </c:pt>
                <c:pt idx="59">
                  <c:v>-3025.2299999999987</c:v>
                </c:pt>
                <c:pt idx="60">
                  <c:v>-397.85999999999967</c:v>
                </c:pt>
                <c:pt idx="61">
                  <c:v>-2769.39</c:v>
                </c:pt>
                <c:pt idx="62">
                  <c:v>-1559.3200000000011</c:v>
                </c:pt>
                <c:pt idx="63">
                  <c:v>7743.61</c:v>
                </c:pt>
                <c:pt idx="64">
                  <c:v>539.34000000000049</c:v>
                </c:pt>
                <c:pt idx="65">
                  <c:v>375.61999999999978</c:v>
                </c:pt>
                <c:pt idx="66">
                  <c:v>-1511.5500000000002</c:v>
                </c:pt>
                <c:pt idx="67">
                  <c:v>-458.46000000000038</c:v>
                </c:pt>
                <c:pt idx="68">
                  <c:v>-6262.09</c:v>
                </c:pt>
                <c:pt idx="69">
                  <c:v>0</c:v>
                </c:pt>
                <c:pt idx="70">
                  <c:v>0</c:v>
                </c:pt>
                <c:pt idx="71">
                  <c:v>-1140.6899999999996</c:v>
                </c:pt>
                <c:pt idx="72">
                  <c:v>-3818.9499999999994</c:v>
                </c:pt>
                <c:pt idx="73">
                  <c:v>-1491.0000000000002</c:v>
                </c:pt>
                <c:pt idx="74">
                  <c:v>3162.8700000000003</c:v>
                </c:pt>
                <c:pt idx="75">
                  <c:v>4524.7300000000005</c:v>
                </c:pt>
                <c:pt idx="76">
                  <c:v>-996.00999999999988</c:v>
                </c:pt>
                <c:pt idx="77">
                  <c:v>1279.7599999999993</c:v>
                </c:pt>
                <c:pt idx="78">
                  <c:v>-1490.3400000000011</c:v>
                </c:pt>
                <c:pt idx="79">
                  <c:v>-346.88000000000034</c:v>
                </c:pt>
                <c:pt idx="80">
                  <c:v>-6295.75</c:v>
                </c:pt>
                <c:pt idx="81">
                  <c:v>16927.879999999997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6525.0300000000016</c:v>
                </c:pt>
                <c:pt idx="106">
                  <c:v>-2823.6100000000006</c:v>
                </c:pt>
                <c:pt idx="107">
                  <c:v>-2867.37</c:v>
                </c:pt>
                <c:pt idx="108">
                  <c:v>2525.1799999999994</c:v>
                </c:pt>
                <c:pt idx="109">
                  <c:v>0</c:v>
                </c:pt>
                <c:pt idx="110">
                  <c:v>242.16000000000059</c:v>
                </c:pt>
                <c:pt idx="111">
                  <c:v>0</c:v>
                </c:pt>
                <c:pt idx="112">
                  <c:v>125.47999999999993</c:v>
                </c:pt>
                <c:pt idx="113">
                  <c:v>2889.0399999999991</c:v>
                </c:pt>
                <c:pt idx="114">
                  <c:v>-2854.1999999999989</c:v>
                </c:pt>
                <c:pt idx="115">
                  <c:v>5495.9000000000005</c:v>
                </c:pt>
                <c:pt idx="116">
                  <c:v>2209.0899999999997</c:v>
                </c:pt>
                <c:pt idx="117">
                  <c:v>8901.94</c:v>
                </c:pt>
                <c:pt idx="118">
                  <c:v>0</c:v>
                </c:pt>
                <c:pt idx="119">
                  <c:v>0</c:v>
                </c:pt>
                <c:pt idx="120">
                  <c:v>-892.45000000000039</c:v>
                </c:pt>
                <c:pt idx="121">
                  <c:v>2769.3400000000006</c:v>
                </c:pt>
                <c:pt idx="122">
                  <c:v>2341.6600000000003</c:v>
                </c:pt>
                <c:pt idx="123">
                  <c:v>4788.22</c:v>
                </c:pt>
                <c:pt idx="124">
                  <c:v>1712.1299999999997</c:v>
                </c:pt>
                <c:pt idx="125">
                  <c:v>13897.119999999999</c:v>
                </c:pt>
                <c:pt idx="126">
                  <c:v>-3768.98</c:v>
                </c:pt>
                <c:pt idx="127">
                  <c:v>2709.29</c:v>
                </c:pt>
                <c:pt idx="128">
                  <c:v>-3134.7200000000003</c:v>
                </c:pt>
                <c:pt idx="129">
                  <c:v>2373.3099999999995</c:v>
                </c:pt>
                <c:pt idx="130">
                  <c:v>7042.85</c:v>
                </c:pt>
                <c:pt idx="131">
                  <c:v>-1030.3200000000008</c:v>
                </c:pt>
                <c:pt idx="132">
                  <c:v>-530.08999999999946</c:v>
                </c:pt>
                <c:pt idx="133">
                  <c:v>2266.5100000000007</c:v>
                </c:pt>
                <c:pt idx="134">
                  <c:v>-3458.8799999999997</c:v>
                </c:pt>
                <c:pt idx="135">
                  <c:v>2948.55</c:v>
                </c:pt>
                <c:pt idx="136">
                  <c:v>254.83000000000067</c:v>
                </c:pt>
                <c:pt idx="137">
                  <c:v>3155.1099999999992</c:v>
                </c:pt>
                <c:pt idx="138">
                  <c:v>-992.57000000000016</c:v>
                </c:pt>
                <c:pt idx="139">
                  <c:v>253.17000000000036</c:v>
                </c:pt>
                <c:pt idx="140">
                  <c:v>-5965.9699999999993</c:v>
                </c:pt>
                <c:pt idx="141">
                  <c:v>3662.91</c:v>
                </c:pt>
                <c:pt idx="142">
                  <c:v>895.51</c:v>
                </c:pt>
                <c:pt idx="143">
                  <c:v>1731.8600000000008</c:v>
                </c:pt>
                <c:pt idx="144">
                  <c:v>-1245.5199999999998</c:v>
                </c:pt>
                <c:pt idx="145">
                  <c:v>-3188.4199999999973</c:v>
                </c:pt>
                <c:pt idx="146">
                  <c:v>-1474.1100000000006</c:v>
                </c:pt>
                <c:pt idx="147">
                  <c:v>34.929999999999893</c:v>
                </c:pt>
                <c:pt idx="148">
                  <c:v>4908.32</c:v>
                </c:pt>
                <c:pt idx="149">
                  <c:v>5083.08</c:v>
                </c:pt>
                <c:pt idx="150">
                  <c:v>-4023.7799999999988</c:v>
                </c:pt>
                <c:pt idx="151">
                  <c:v>-237.97000000000099</c:v>
                </c:pt>
                <c:pt idx="152">
                  <c:v>-2116.4300000000007</c:v>
                </c:pt>
                <c:pt idx="153">
                  <c:v>7337.57</c:v>
                </c:pt>
                <c:pt idx="154">
                  <c:v>-5059.5599999999995</c:v>
                </c:pt>
                <c:pt idx="155">
                  <c:v>2384.4799999999977</c:v>
                </c:pt>
                <c:pt idx="156">
                  <c:v>-2053.5700000000006</c:v>
                </c:pt>
                <c:pt idx="157">
                  <c:v>539.39999999999816</c:v>
                </c:pt>
                <c:pt idx="158">
                  <c:v>-220.72000000000085</c:v>
                </c:pt>
                <c:pt idx="159">
                  <c:v>966.38000000000022</c:v>
                </c:pt>
                <c:pt idx="160">
                  <c:v>-3475.3600000000019</c:v>
                </c:pt>
                <c:pt idx="161">
                  <c:v>2520.7399999999998</c:v>
                </c:pt>
                <c:pt idx="162">
                  <c:v>-276.17999999999938</c:v>
                </c:pt>
                <c:pt idx="163">
                  <c:v>288.27999999999906</c:v>
                </c:pt>
                <c:pt idx="164">
                  <c:v>-2161.6200000000017</c:v>
                </c:pt>
                <c:pt idx="165">
                  <c:v>3648.2500000000009</c:v>
                </c:pt>
                <c:pt idx="166">
                  <c:v>-1483.7600000000004</c:v>
                </c:pt>
                <c:pt idx="167">
                  <c:v>884.72999999999922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12032"/>
        <c:axId val="214489512"/>
      </c:lineChart>
      <c:dateAx>
        <c:axId val="1571120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89512"/>
        <c:crosses val="autoZero"/>
        <c:auto val="1"/>
        <c:lblOffset val="100"/>
        <c:baseTimeUnit val="months"/>
      </c:dateAx>
      <c:valAx>
        <c:axId val="214489512"/>
        <c:scaling>
          <c:orientation val="minMax"/>
          <c:max val="17000"/>
          <c:min val="-7000"/>
        </c:scaling>
        <c:delete val="0"/>
        <c:axPos val="l"/>
        <c:numFmt formatCode="&quot;$&quot;#,##0.00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11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Charts!$A$5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Charts!$B$5:$M$5</c:f>
              <c:numCache>
                <c:formatCode>"$"#,##0.00</c:formatCode>
                <c:ptCount val="12"/>
                <c:pt idx="0">
                  <c:v>3653.7400000000016</c:v>
                </c:pt>
                <c:pt idx="1">
                  <c:v>-3248.3299999999995</c:v>
                </c:pt>
                <c:pt idx="2">
                  <c:v>2615.4</c:v>
                </c:pt>
                <c:pt idx="3">
                  <c:v>3505.5499999999997</c:v>
                </c:pt>
                <c:pt idx="4">
                  <c:v>4860.2</c:v>
                </c:pt>
                <c:pt idx="5">
                  <c:v>0</c:v>
                </c:pt>
                <c:pt idx="6">
                  <c:v>-6669.9</c:v>
                </c:pt>
                <c:pt idx="7">
                  <c:v>-1289.92</c:v>
                </c:pt>
                <c:pt idx="8">
                  <c:v>-3787.2299999999996</c:v>
                </c:pt>
                <c:pt idx="9">
                  <c:v>6038.56</c:v>
                </c:pt>
                <c:pt idx="10">
                  <c:v>284.03999999999974</c:v>
                </c:pt>
                <c:pt idx="11">
                  <c:v>-3025.2299999999987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Charts!$A$6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Charts!$B$6:$M$6</c:f>
              <c:numCache>
                <c:formatCode>"$"#,##0.00</c:formatCode>
                <c:ptCount val="12"/>
                <c:pt idx="0">
                  <c:v>-397.85999999999967</c:v>
                </c:pt>
                <c:pt idx="1">
                  <c:v>-2769.39</c:v>
                </c:pt>
                <c:pt idx="2">
                  <c:v>-1559.3200000000011</c:v>
                </c:pt>
                <c:pt idx="3">
                  <c:v>7743.61</c:v>
                </c:pt>
                <c:pt idx="4">
                  <c:v>539.34000000000049</c:v>
                </c:pt>
                <c:pt idx="5">
                  <c:v>375.61999999999978</c:v>
                </c:pt>
                <c:pt idx="6">
                  <c:v>-1511.5500000000002</c:v>
                </c:pt>
                <c:pt idx="7">
                  <c:v>-458.46000000000038</c:v>
                </c:pt>
                <c:pt idx="8">
                  <c:v>-6262.09</c:v>
                </c:pt>
                <c:pt idx="9">
                  <c:v>0</c:v>
                </c:pt>
                <c:pt idx="10">
                  <c:v>0</c:v>
                </c:pt>
                <c:pt idx="11">
                  <c:v>-1140.6899999999996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Charts!$A$7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Charts!$B$7:$M$7</c:f>
              <c:numCache>
                <c:formatCode>"$"#,##0.00</c:formatCode>
                <c:ptCount val="12"/>
                <c:pt idx="0">
                  <c:v>-3818.9499999999994</c:v>
                </c:pt>
                <c:pt idx="1">
                  <c:v>-1491.0000000000002</c:v>
                </c:pt>
                <c:pt idx="2">
                  <c:v>3162.8700000000003</c:v>
                </c:pt>
                <c:pt idx="3">
                  <c:v>4524.7300000000005</c:v>
                </c:pt>
                <c:pt idx="4">
                  <c:v>-996.00999999999988</c:v>
                </c:pt>
                <c:pt idx="5">
                  <c:v>1279.7599999999993</c:v>
                </c:pt>
                <c:pt idx="6">
                  <c:v>-1490.3400000000011</c:v>
                </c:pt>
                <c:pt idx="7">
                  <c:v>-346.88000000000034</c:v>
                </c:pt>
                <c:pt idx="8">
                  <c:v>-6295.75</c:v>
                </c:pt>
                <c:pt idx="9">
                  <c:v>16927.879999999997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Charts!$A$8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Charts!$B$8:$M$8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Charts!$A$9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Charts!$B$9:$M$9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6525.0300000000016</c:v>
                </c:pt>
                <c:pt idx="10">
                  <c:v>-2823.6100000000006</c:v>
                </c:pt>
                <c:pt idx="11">
                  <c:v>-2867.37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Charts!$A$10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Charts!$B$10:$M$10</c:f>
              <c:numCache>
                <c:formatCode>"$"#,##0.00</c:formatCode>
                <c:ptCount val="12"/>
                <c:pt idx="0">
                  <c:v>2525.1799999999994</c:v>
                </c:pt>
                <c:pt idx="1">
                  <c:v>0</c:v>
                </c:pt>
                <c:pt idx="2">
                  <c:v>242.16000000000059</c:v>
                </c:pt>
                <c:pt idx="3">
                  <c:v>0</c:v>
                </c:pt>
                <c:pt idx="4">
                  <c:v>125.47999999999993</c:v>
                </c:pt>
                <c:pt idx="5">
                  <c:v>2889.0399999999991</c:v>
                </c:pt>
                <c:pt idx="6">
                  <c:v>-2854.1999999999989</c:v>
                </c:pt>
                <c:pt idx="7">
                  <c:v>5495.9000000000005</c:v>
                </c:pt>
                <c:pt idx="8">
                  <c:v>2209.0899999999997</c:v>
                </c:pt>
                <c:pt idx="9">
                  <c:v>8901.94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Charts!$A$11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Charts!$B$11:$M$11</c:f>
              <c:numCache>
                <c:formatCode>"$"#,##0.00</c:formatCode>
                <c:ptCount val="12"/>
                <c:pt idx="0">
                  <c:v>-892.45000000000039</c:v>
                </c:pt>
                <c:pt idx="1">
                  <c:v>2769.3400000000006</c:v>
                </c:pt>
                <c:pt idx="2">
                  <c:v>2341.6600000000003</c:v>
                </c:pt>
                <c:pt idx="3">
                  <c:v>4788.22</c:v>
                </c:pt>
                <c:pt idx="4">
                  <c:v>1712.1299999999997</c:v>
                </c:pt>
                <c:pt idx="5">
                  <c:v>13897.119999999999</c:v>
                </c:pt>
                <c:pt idx="6">
                  <c:v>-3768.98</c:v>
                </c:pt>
                <c:pt idx="7">
                  <c:v>2709.29</c:v>
                </c:pt>
                <c:pt idx="8">
                  <c:v>-3134.7200000000003</c:v>
                </c:pt>
                <c:pt idx="9">
                  <c:v>2373.3099999999995</c:v>
                </c:pt>
                <c:pt idx="10">
                  <c:v>7042.85</c:v>
                </c:pt>
                <c:pt idx="11">
                  <c:v>-1030.3200000000008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Charts!$A$12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Charts!$B$12:$M$12</c:f>
              <c:numCache>
                <c:formatCode>"$"#,##0.00</c:formatCode>
                <c:ptCount val="12"/>
                <c:pt idx="0">
                  <c:v>-530.08999999999946</c:v>
                </c:pt>
                <c:pt idx="1">
                  <c:v>2266.5100000000007</c:v>
                </c:pt>
                <c:pt idx="2">
                  <c:v>-3458.8799999999997</c:v>
                </c:pt>
                <c:pt idx="3">
                  <c:v>2948.55</c:v>
                </c:pt>
                <c:pt idx="4">
                  <c:v>254.83000000000067</c:v>
                </c:pt>
                <c:pt idx="5">
                  <c:v>3155.1099999999992</c:v>
                </c:pt>
                <c:pt idx="6">
                  <c:v>-992.57000000000016</c:v>
                </c:pt>
                <c:pt idx="7">
                  <c:v>253.17000000000036</c:v>
                </c:pt>
                <c:pt idx="8">
                  <c:v>-5965.9699999999993</c:v>
                </c:pt>
                <c:pt idx="9">
                  <c:v>3662.91</c:v>
                </c:pt>
                <c:pt idx="10">
                  <c:v>895.51</c:v>
                </c:pt>
                <c:pt idx="11">
                  <c:v>1731.8600000000008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Charts!$A$13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Charts!$B$13:$M$13</c:f>
              <c:numCache>
                <c:formatCode>"$"#,##0.00</c:formatCode>
                <c:ptCount val="12"/>
                <c:pt idx="0">
                  <c:v>-1245.5199999999998</c:v>
                </c:pt>
                <c:pt idx="1">
                  <c:v>-3188.4199999999973</c:v>
                </c:pt>
                <c:pt idx="2">
                  <c:v>-1474.1100000000006</c:v>
                </c:pt>
                <c:pt idx="3">
                  <c:v>34.929999999999893</c:v>
                </c:pt>
                <c:pt idx="4">
                  <c:v>4908.32</c:v>
                </c:pt>
                <c:pt idx="5">
                  <c:v>5083.08</c:v>
                </c:pt>
                <c:pt idx="6">
                  <c:v>-4023.7799999999988</c:v>
                </c:pt>
                <c:pt idx="7">
                  <c:v>-237.97000000000099</c:v>
                </c:pt>
                <c:pt idx="8">
                  <c:v>-2116.4300000000007</c:v>
                </c:pt>
                <c:pt idx="9">
                  <c:v>7337.57</c:v>
                </c:pt>
                <c:pt idx="10">
                  <c:v>-5059.5599999999995</c:v>
                </c:pt>
                <c:pt idx="11">
                  <c:v>2384.4799999999977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Charts!$A$14</c:f>
              <c:strCache>
                <c:ptCount val="1"/>
                <c:pt idx="0">
                  <c:v>2019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Charts!$B$14:$M$14</c:f>
              <c:numCache>
                <c:formatCode>"$"#,##0.00</c:formatCode>
                <c:ptCount val="12"/>
                <c:pt idx="0">
                  <c:v>-2053.5700000000006</c:v>
                </c:pt>
                <c:pt idx="1">
                  <c:v>539.39999999999816</c:v>
                </c:pt>
                <c:pt idx="2">
                  <c:v>-220.72000000000085</c:v>
                </c:pt>
                <c:pt idx="3">
                  <c:v>966.38000000000022</c:v>
                </c:pt>
                <c:pt idx="4">
                  <c:v>-3475.3600000000019</c:v>
                </c:pt>
                <c:pt idx="5">
                  <c:v>2520.7399999999998</c:v>
                </c:pt>
                <c:pt idx="6">
                  <c:v>-276.17999999999938</c:v>
                </c:pt>
                <c:pt idx="7">
                  <c:v>288.27999999999906</c:v>
                </c:pt>
                <c:pt idx="8">
                  <c:v>-2161.6200000000017</c:v>
                </c:pt>
                <c:pt idx="9">
                  <c:v>3648.2500000000009</c:v>
                </c:pt>
                <c:pt idx="10">
                  <c:v>-1483.7600000000004</c:v>
                </c:pt>
                <c:pt idx="11">
                  <c:v>884.72999999999922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25560"/>
        <c:axId val="377684008"/>
      </c:lineChart>
      <c:catAx>
        <c:axId val="214925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84008"/>
        <c:crosses val="autoZero"/>
        <c:auto val="1"/>
        <c:lblAlgn val="ctr"/>
        <c:lblOffset val="100"/>
        <c:noMultiLvlLbl val="0"/>
      </c:catAx>
      <c:valAx>
        <c:axId val="37768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92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Yearly Revenue to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Charts!$A$50:$A$59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Charts!$B$50:$B$59</c:f>
              <c:numCache>
                <c:formatCode>General</c:formatCode>
                <c:ptCount val="10"/>
                <c:pt idx="0">
                  <c:v>147997.39000000001</c:v>
                </c:pt>
                <c:pt idx="1">
                  <c:v>130137.99</c:v>
                </c:pt>
                <c:pt idx="2">
                  <c:v>147886.71</c:v>
                </c:pt>
                <c:pt idx="3">
                  <c:v>0</c:v>
                </c:pt>
                <c:pt idx="4">
                  <c:v>51712.719999999994</c:v>
                </c:pt>
                <c:pt idx="5">
                  <c:v>108828.73</c:v>
                </c:pt>
                <c:pt idx="6">
                  <c:v>143983.42000000001</c:v>
                </c:pt>
                <c:pt idx="7">
                  <c:v>125128.1</c:v>
                </c:pt>
                <c:pt idx="8">
                  <c:v>125664.90999999999</c:v>
                </c:pt>
                <c:pt idx="9">
                  <c:v>108458.13</c:v>
                </c:pt>
              </c:numCache>
            </c:numRef>
          </c:val>
        </c:ser>
        <c:ser>
          <c:idx val="1"/>
          <c:order val="1"/>
          <c:tx>
            <c:v>Expenses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Charts!$A$50:$A$59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Charts!$C$50:$C$59</c:f>
              <c:numCache>
                <c:formatCode>General</c:formatCode>
                <c:ptCount val="10"/>
                <c:pt idx="0">
                  <c:v>145060.50999999998</c:v>
                </c:pt>
                <c:pt idx="1">
                  <c:v>135578.78</c:v>
                </c:pt>
                <c:pt idx="2">
                  <c:v>136430.39999999999</c:v>
                </c:pt>
                <c:pt idx="3">
                  <c:v>0</c:v>
                </c:pt>
                <c:pt idx="4">
                  <c:v>50878.67</c:v>
                </c:pt>
                <c:pt idx="5">
                  <c:v>89294.14</c:v>
                </c:pt>
                <c:pt idx="6">
                  <c:v>115175.97</c:v>
                </c:pt>
                <c:pt idx="7">
                  <c:v>120907.15999999999</c:v>
                </c:pt>
                <c:pt idx="8">
                  <c:v>123262.31999999999</c:v>
                </c:pt>
                <c:pt idx="9">
                  <c:v>109281.56000000001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7684792"/>
        <c:axId val="377685184"/>
      </c:barChart>
      <c:catAx>
        <c:axId val="37768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85184"/>
        <c:crosses val="autoZero"/>
        <c:auto val="1"/>
        <c:lblAlgn val="ctr"/>
        <c:lblOffset val="100"/>
        <c:noMultiLvlLbl val="0"/>
      </c:catAx>
      <c:valAx>
        <c:axId val="37768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8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Revenue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Charts!$A$5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Charts!$B$5:$M$5</c:f>
              <c:numCache>
                <c:formatCode>"$"#,##0.00</c:formatCode>
                <c:ptCount val="12"/>
                <c:pt idx="0">
                  <c:v>3653.7400000000016</c:v>
                </c:pt>
                <c:pt idx="1">
                  <c:v>-3248.3299999999995</c:v>
                </c:pt>
                <c:pt idx="2">
                  <c:v>2615.4</c:v>
                </c:pt>
                <c:pt idx="3">
                  <c:v>3505.5499999999997</c:v>
                </c:pt>
                <c:pt idx="4">
                  <c:v>4860.2</c:v>
                </c:pt>
                <c:pt idx="5">
                  <c:v>0</c:v>
                </c:pt>
                <c:pt idx="6">
                  <c:v>-6669.9</c:v>
                </c:pt>
                <c:pt idx="7">
                  <c:v>-1289.92</c:v>
                </c:pt>
                <c:pt idx="8">
                  <c:v>-3787.2299999999996</c:v>
                </c:pt>
                <c:pt idx="9">
                  <c:v>6038.56</c:v>
                </c:pt>
                <c:pt idx="10">
                  <c:v>284.03999999999974</c:v>
                </c:pt>
                <c:pt idx="11">
                  <c:v>-3025.2299999999987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Charts!$A$6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Charts!$B$6:$M$6</c:f>
              <c:numCache>
                <c:formatCode>"$"#,##0.00</c:formatCode>
                <c:ptCount val="12"/>
                <c:pt idx="0">
                  <c:v>-397.85999999999967</c:v>
                </c:pt>
                <c:pt idx="1">
                  <c:v>-2769.39</c:v>
                </c:pt>
                <c:pt idx="2">
                  <c:v>-1559.3200000000011</c:v>
                </c:pt>
                <c:pt idx="3">
                  <c:v>7743.61</c:v>
                </c:pt>
                <c:pt idx="4">
                  <c:v>539.34000000000049</c:v>
                </c:pt>
                <c:pt idx="5">
                  <c:v>375.61999999999978</c:v>
                </c:pt>
                <c:pt idx="6">
                  <c:v>-1511.5500000000002</c:v>
                </c:pt>
                <c:pt idx="7">
                  <c:v>-458.46000000000038</c:v>
                </c:pt>
                <c:pt idx="8">
                  <c:v>-6262.09</c:v>
                </c:pt>
                <c:pt idx="9">
                  <c:v>0</c:v>
                </c:pt>
                <c:pt idx="10">
                  <c:v>0</c:v>
                </c:pt>
                <c:pt idx="11">
                  <c:v>-1140.6899999999996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Charts!$A$7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Charts!$B$7:$M$7</c:f>
              <c:numCache>
                <c:formatCode>"$"#,##0.00</c:formatCode>
                <c:ptCount val="12"/>
                <c:pt idx="0">
                  <c:v>-3818.9499999999994</c:v>
                </c:pt>
                <c:pt idx="1">
                  <c:v>-1491.0000000000002</c:v>
                </c:pt>
                <c:pt idx="2">
                  <c:v>3162.8700000000003</c:v>
                </c:pt>
                <c:pt idx="3">
                  <c:v>4524.7300000000005</c:v>
                </c:pt>
                <c:pt idx="4">
                  <c:v>-996.00999999999988</c:v>
                </c:pt>
                <c:pt idx="5">
                  <c:v>1279.7599999999993</c:v>
                </c:pt>
                <c:pt idx="6">
                  <c:v>-1490.3400000000011</c:v>
                </c:pt>
                <c:pt idx="7">
                  <c:v>-346.88000000000034</c:v>
                </c:pt>
                <c:pt idx="8">
                  <c:v>-6295.75</c:v>
                </c:pt>
                <c:pt idx="9">
                  <c:v>16927.879999999997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Charts!$A$8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Charts!$B$8:$M$8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Charts!$A$9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Charts!$B$9:$M$9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6525.0300000000016</c:v>
                </c:pt>
                <c:pt idx="10">
                  <c:v>-2823.6100000000006</c:v>
                </c:pt>
                <c:pt idx="11">
                  <c:v>-2867.37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Charts!$A$10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Charts!$B$10:$M$10</c:f>
              <c:numCache>
                <c:formatCode>"$"#,##0.00</c:formatCode>
                <c:ptCount val="12"/>
                <c:pt idx="0">
                  <c:v>2525.1799999999994</c:v>
                </c:pt>
                <c:pt idx="1">
                  <c:v>0</c:v>
                </c:pt>
                <c:pt idx="2">
                  <c:v>242.16000000000059</c:v>
                </c:pt>
                <c:pt idx="3">
                  <c:v>0</c:v>
                </c:pt>
                <c:pt idx="4">
                  <c:v>125.47999999999993</c:v>
                </c:pt>
                <c:pt idx="5">
                  <c:v>2889.0399999999991</c:v>
                </c:pt>
                <c:pt idx="6">
                  <c:v>-2854.1999999999989</c:v>
                </c:pt>
                <c:pt idx="7">
                  <c:v>5495.9000000000005</c:v>
                </c:pt>
                <c:pt idx="8">
                  <c:v>2209.0899999999997</c:v>
                </c:pt>
                <c:pt idx="9">
                  <c:v>8901.94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Charts!$A$11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Charts!$B$11:$M$11</c:f>
              <c:numCache>
                <c:formatCode>"$"#,##0.00</c:formatCode>
                <c:ptCount val="12"/>
                <c:pt idx="0">
                  <c:v>-892.45000000000039</c:v>
                </c:pt>
                <c:pt idx="1">
                  <c:v>2769.3400000000006</c:v>
                </c:pt>
                <c:pt idx="2">
                  <c:v>2341.6600000000003</c:v>
                </c:pt>
                <c:pt idx="3">
                  <c:v>4788.22</c:v>
                </c:pt>
                <c:pt idx="4">
                  <c:v>1712.1299999999997</c:v>
                </c:pt>
                <c:pt idx="5">
                  <c:v>13897.119999999999</c:v>
                </c:pt>
                <c:pt idx="6">
                  <c:v>-3768.98</c:v>
                </c:pt>
                <c:pt idx="7">
                  <c:v>2709.29</c:v>
                </c:pt>
                <c:pt idx="8">
                  <c:v>-3134.7200000000003</c:v>
                </c:pt>
                <c:pt idx="9">
                  <c:v>2373.3099999999995</c:v>
                </c:pt>
                <c:pt idx="10">
                  <c:v>7042.85</c:v>
                </c:pt>
                <c:pt idx="11">
                  <c:v>-1030.3200000000008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Charts!$A$12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Charts!$B$12:$M$12</c:f>
              <c:numCache>
                <c:formatCode>"$"#,##0.00</c:formatCode>
                <c:ptCount val="12"/>
                <c:pt idx="0">
                  <c:v>-530.08999999999946</c:v>
                </c:pt>
                <c:pt idx="1">
                  <c:v>2266.5100000000007</c:v>
                </c:pt>
                <c:pt idx="2">
                  <c:v>-3458.8799999999997</c:v>
                </c:pt>
                <c:pt idx="3">
                  <c:v>2948.55</c:v>
                </c:pt>
                <c:pt idx="4">
                  <c:v>254.83000000000067</c:v>
                </c:pt>
                <c:pt idx="5">
                  <c:v>3155.1099999999992</c:v>
                </c:pt>
                <c:pt idx="6">
                  <c:v>-992.57000000000016</c:v>
                </c:pt>
                <c:pt idx="7">
                  <c:v>253.17000000000036</c:v>
                </c:pt>
                <c:pt idx="8">
                  <c:v>-5965.9699999999993</c:v>
                </c:pt>
                <c:pt idx="9">
                  <c:v>3662.91</c:v>
                </c:pt>
                <c:pt idx="10">
                  <c:v>895.51</c:v>
                </c:pt>
                <c:pt idx="11">
                  <c:v>1731.8600000000008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Charts!$A$13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cat>
            <c:strRef>
              <c:f>Charts!$B$1:$M$1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Charts!$B$13:$M$13</c:f>
              <c:numCache>
                <c:formatCode>"$"#,##0.00</c:formatCode>
                <c:ptCount val="12"/>
                <c:pt idx="0">
                  <c:v>-1245.5199999999998</c:v>
                </c:pt>
                <c:pt idx="1">
                  <c:v>-3188.4199999999973</c:v>
                </c:pt>
                <c:pt idx="2">
                  <c:v>-1474.1100000000006</c:v>
                </c:pt>
                <c:pt idx="3">
                  <c:v>34.929999999999893</c:v>
                </c:pt>
                <c:pt idx="4">
                  <c:v>4908.32</c:v>
                </c:pt>
                <c:pt idx="5">
                  <c:v>5083.08</c:v>
                </c:pt>
                <c:pt idx="6">
                  <c:v>-4023.7799999999988</c:v>
                </c:pt>
                <c:pt idx="7">
                  <c:v>-237.97000000000099</c:v>
                </c:pt>
                <c:pt idx="8">
                  <c:v>-2116.4300000000007</c:v>
                </c:pt>
                <c:pt idx="9">
                  <c:v>7337.57</c:v>
                </c:pt>
                <c:pt idx="10">
                  <c:v>-5059.5599999999995</c:v>
                </c:pt>
                <c:pt idx="11">
                  <c:v>2384.4799999999977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685968"/>
        <c:axId val="377686360"/>
      </c:lineChart>
      <c:catAx>
        <c:axId val="37768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7686360"/>
        <c:crosses val="autoZero"/>
        <c:auto val="1"/>
        <c:lblAlgn val="ctr"/>
        <c:lblOffset val="100"/>
        <c:noMultiLvlLbl val="0"/>
      </c:catAx>
      <c:valAx>
        <c:axId val="377686360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377685968"/>
        <c:crosses val="autoZero"/>
        <c:crossBetween val="between"/>
      </c:valAx>
      <c:spPr>
        <a:ln>
          <a:gradFill>
            <a:gsLst>
              <a:gs pos="2400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>
          <a:glow rad="12700">
            <a:schemeClr val="accent1">
              <a:alpha val="40000"/>
            </a:schemeClr>
          </a:glow>
        </a:effectLst>
      </c:spPr>
    </c:plotArea>
    <c:legend>
      <c:legendPos val="r"/>
      <c:overlay val="0"/>
      <c:txPr>
        <a:bodyPr/>
        <a:lstStyle/>
        <a:p>
          <a:pPr>
            <a:defRPr>
              <a:ln w="6350">
                <a:solidFill>
                  <a:schemeClr val="accent1"/>
                </a:solidFill>
              </a:ln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landscape" horizontalDpi="-3" verticalDpi="-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971549</xdr:colOff>
      <xdr:row>49</xdr:row>
      <xdr:rowOff>4762</xdr:rowOff>
    </xdr:from>
    <xdr:to>
      <xdr:col>66</xdr:col>
      <xdr:colOff>942975</xdr:colOff>
      <xdr:row>65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67</xdr:col>
      <xdr:colOff>123825</xdr:colOff>
      <xdr:row>48</xdr:row>
      <xdr:rowOff>190499</xdr:rowOff>
    </xdr:from>
    <xdr:to>
      <xdr:col>73</xdr:col>
      <xdr:colOff>28575</xdr:colOff>
      <xdr:row>64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123821</xdr:colOff>
      <xdr:row>22</xdr:row>
      <xdr:rowOff>161926</xdr:rowOff>
    </xdr:from>
    <xdr:to>
      <xdr:col>171</xdr:col>
      <xdr:colOff>371475</xdr:colOff>
      <xdr:row>37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17</xdr:row>
      <xdr:rowOff>0</xdr:rowOff>
    </xdr:from>
    <xdr:to>
      <xdr:col>17</xdr:col>
      <xdr:colOff>28575</xdr:colOff>
      <xdr:row>39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619126</xdr:colOff>
      <xdr:row>46</xdr:row>
      <xdr:rowOff>28574</xdr:rowOff>
    </xdr:from>
    <xdr:to>
      <xdr:col>15</xdr:col>
      <xdr:colOff>304800</xdr:colOff>
      <xdr:row>71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28574</xdr:colOff>
      <xdr:row>43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83"/>
  <sheetViews>
    <sheetView tabSelected="1" workbookViewId="0">
      <pane ySplit="1" topLeftCell="A11" activePane="bottomLeft" state="frozen"/>
      <selection pane="bottomLeft" activeCell="E23" sqref="E23"/>
    </sheetView>
  </sheetViews>
  <sheetFormatPr defaultColWidth="13.7109375" defaultRowHeight="15.75" customHeight="1" x14ac:dyDescent="0.2"/>
  <cols>
    <col min="1" max="1" width="13.7109375" style="50"/>
    <col min="2" max="2" width="13.7109375" style="112"/>
    <col min="3" max="3" width="41.7109375" style="111" customWidth="1"/>
    <col min="4" max="4" width="1.5703125" style="182" customWidth="1"/>
    <col min="5" max="5" width="18.85546875" style="153" bestFit="1" customWidth="1"/>
    <col min="6" max="6" width="12.140625" style="203" customWidth="1"/>
    <col min="7" max="7" width="12.85546875" style="59" bestFit="1" customWidth="1"/>
    <col min="8" max="8" width="13.28515625" style="58" customWidth="1"/>
    <col min="9" max="9" width="15.28515625" style="129" bestFit="1" customWidth="1"/>
    <col min="10" max="10" width="1.5703125" style="182" customWidth="1"/>
    <col min="11" max="11" width="12.85546875" style="154" bestFit="1" customWidth="1"/>
    <col min="12" max="12" width="13.28515625" style="58" customWidth="1"/>
    <col min="13" max="13" width="13.42578125" style="129" bestFit="1" customWidth="1"/>
    <col min="14" max="14" width="1.5703125" style="182" customWidth="1"/>
    <col min="15" max="15" width="12.85546875" style="154" bestFit="1" customWidth="1"/>
    <col min="16" max="16" width="13.28515625" style="58" customWidth="1"/>
    <col min="17" max="17" width="11.28515625" style="129" customWidth="1"/>
    <col min="18" max="18" width="1.5703125" style="182" customWidth="1"/>
    <col min="19" max="19" width="11.28515625" style="175" customWidth="1"/>
    <col min="20" max="20" width="11.28515625" style="112" customWidth="1"/>
    <col min="21" max="21" width="1.5703125" style="195" customWidth="1"/>
    <col min="22" max="22" width="11.28515625" style="175" customWidth="1"/>
    <col min="23" max="23" width="11.28515625" style="112" customWidth="1"/>
    <col min="24" max="24" width="1.5703125" style="195" customWidth="1"/>
    <col min="25" max="25" width="11.28515625" style="175" customWidth="1"/>
    <col min="26" max="26" width="11.28515625" style="50" customWidth="1"/>
    <col min="27" max="27" width="1.5703125" style="51" customWidth="1"/>
    <col min="28" max="29" width="11.28515625" style="52" customWidth="1"/>
    <col min="30" max="30" width="1.5703125" style="53" customWidth="1"/>
    <col min="31" max="32" width="11.28515625" style="52" customWidth="1"/>
    <col min="33" max="33" width="1.5703125" style="51" customWidth="1"/>
    <col min="34" max="37" width="11.28515625" style="50" customWidth="1"/>
    <col min="38" max="16384" width="13.7109375" style="50"/>
  </cols>
  <sheetData>
    <row r="1" spans="1:37" s="56" customFormat="1" ht="15.75" customHeight="1" x14ac:dyDescent="0.2">
      <c r="A1" s="20"/>
      <c r="B1" s="197"/>
      <c r="C1" s="108"/>
      <c r="D1" s="181"/>
      <c r="E1" s="116" t="s">
        <v>175</v>
      </c>
      <c r="F1" s="201" t="s">
        <v>164</v>
      </c>
      <c r="G1" s="48" t="s">
        <v>150</v>
      </c>
      <c r="H1" s="21" t="s">
        <v>149</v>
      </c>
      <c r="I1" s="116" t="s">
        <v>148</v>
      </c>
      <c r="J1" s="181"/>
      <c r="K1" s="156" t="s">
        <v>142</v>
      </c>
      <c r="L1" s="21" t="s">
        <v>140</v>
      </c>
      <c r="M1" s="116" t="s">
        <v>141</v>
      </c>
      <c r="N1" s="181"/>
      <c r="O1" s="156" t="s">
        <v>135</v>
      </c>
      <c r="P1" s="21" t="s">
        <v>133</v>
      </c>
      <c r="Q1" s="116" t="s">
        <v>131</v>
      </c>
      <c r="R1" s="185"/>
      <c r="S1" s="171" t="s">
        <v>20</v>
      </c>
      <c r="T1" s="138" t="s">
        <v>73</v>
      </c>
      <c r="U1" s="191"/>
      <c r="V1" s="171" t="s">
        <v>98</v>
      </c>
      <c r="W1" s="138" t="s">
        <v>99</v>
      </c>
      <c r="X1" s="196"/>
      <c r="Y1" s="176" t="s">
        <v>101</v>
      </c>
      <c r="Z1" s="20" t="s">
        <v>102</v>
      </c>
      <c r="AA1" s="54"/>
      <c r="AB1" s="22" t="s">
        <v>103</v>
      </c>
      <c r="AC1" s="23" t="s">
        <v>104</v>
      </c>
      <c r="AD1" s="55"/>
      <c r="AE1" s="24" t="s">
        <v>107</v>
      </c>
      <c r="AF1" s="24" t="s">
        <v>108</v>
      </c>
      <c r="AG1" s="54"/>
      <c r="AH1" s="25" t="s">
        <v>109</v>
      </c>
      <c r="AI1" s="25" t="s">
        <v>110</v>
      </c>
      <c r="AK1" s="56" t="s">
        <v>130</v>
      </c>
    </row>
    <row r="2" spans="1:37" ht="15.75" customHeight="1" x14ac:dyDescent="0.2">
      <c r="A2" s="20" t="s">
        <v>134</v>
      </c>
      <c r="B2" s="197"/>
      <c r="C2" s="107"/>
      <c r="D2" s="180"/>
      <c r="E2" s="144"/>
      <c r="F2" s="202"/>
      <c r="G2" s="49"/>
      <c r="H2" s="30"/>
      <c r="I2" s="115"/>
      <c r="J2" s="180"/>
      <c r="K2" s="155"/>
      <c r="L2" s="30"/>
      <c r="M2" s="115"/>
      <c r="N2" s="180"/>
      <c r="O2" s="155"/>
      <c r="P2" s="30"/>
      <c r="Q2" s="115"/>
      <c r="R2" s="184"/>
      <c r="S2" s="170"/>
      <c r="T2" s="137"/>
      <c r="U2" s="190"/>
      <c r="V2" s="170"/>
      <c r="W2" s="137"/>
      <c r="Y2" s="166"/>
      <c r="Z2" s="26"/>
      <c r="AB2" s="31"/>
      <c r="AC2" s="27"/>
      <c r="AE2" s="28"/>
      <c r="AF2" s="28"/>
      <c r="AH2" s="29"/>
      <c r="AI2" s="29"/>
    </row>
    <row r="3" spans="1:37" ht="15.75" customHeight="1" x14ac:dyDescent="0.25">
      <c r="A3" s="26" t="s">
        <v>74</v>
      </c>
      <c r="B3" s="140"/>
      <c r="C3" s="107" t="s">
        <v>75</v>
      </c>
      <c r="D3" s="180"/>
      <c r="E3" s="145">
        <v>1000</v>
      </c>
      <c r="F3" s="204">
        <f t="shared" ref="F3:F6" si="0">E3/G3</f>
        <v>1</v>
      </c>
      <c r="G3" s="96">
        <v>1000</v>
      </c>
      <c r="H3" s="96">
        <v>1500</v>
      </c>
      <c r="I3" s="117">
        <v>1500</v>
      </c>
      <c r="J3" s="180"/>
      <c r="K3" s="157">
        <v>1500</v>
      </c>
      <c r="L3" s="70">
        <v>1500</v>
      </c>
      <c r="M3" s="130">
        <v>1500</v>
      </c>
      <c r="N3" s="180"/>
      <c r="O3" s="155">
        <v>1500</v>
      </c>
      <c r="P3" s="30">
        <v>0</v>
      </c>
      <c r="Q3" s="115">
        <v>1500</v>
      </c>
      <c r="R3" s="184"/>
      <c r="S3" s="170">
        <v>0</v>
      </c>
      <c r="T3" s="137">
        <v>0</v>
      </c>
      <c r="U3" s="190"/>
      <c r="V3" s="170">
        <v>0</v>
      </c>
      <c r="W3" s="137">
        <v>0</v>
      </c>
      <c r="Y3" s="166">
        <v>0</v>
      </c>
      <c r="Z3" s="30">
        <v>0</v>
      </c>
      <c r="AB3" s="31">
        <v>1500</v>
      </c>
      <c r="AC3" s="31">
        <v>1500</v>
      </c>
      <c r="AE3" s="32">
        <v>1500</v>
      </c>
      <c r="AF3" s="32">
        <v>1500</v>
      </c>
      <c r="AH3" s="33">
        <v>1500</v>
      </c>
      <c r="AI3" s="33">
        <v>1500</v>
      </c>
      <c r="AK3" s="50">
        <f>(T3+W3+Z3+AC3+AF3+AI3)/6</f>
        <v>750</v>
      </c>
    </row>
    <row r="4" spans="1:37" ht="15.75" customHeight="1" x14ac:dyDescent="0.25">
      <c r="A4" s="26"/>
      <c r="B4" s="140"/>
      <c r="C4" s="107" t="s">
        <v>76</v>
      </c>
      <c r="D4" s="180"/>
      <c r="E4" s="145">
        <v>500</v>
      </c>
      <c r="F4" s="204">
        <f t="shared" si="0"/>
        <v>1</v>
      </c>
      <c r="G4" s="96">
        <v>500</v>
      </c>
      <c r="H4" s="96">
        <v>1000</v>
      </c>
      <c r="I4" s="117">
        <v>1000</v>
      </c>
      <c r="J4" s="180"/>
      <c r="K4" s="157">
        <v>1000</v>
      </c>
      <c r="L4" s="70">
        <v>1000</v>
      </c>
      <c r="M4" s="130">
        <v>1000</v>
      </c>
      <c r="N4" s="180"/>
      <c r="O4" s="155">
        <v>1000</v>
      </c>
      <c r="P4" s="30">
        <v>0</v>
      </c>
      <c r="Q4" s="115">
        <v>1500</v>
      </c>
      <c r="R4" s="184"/>
      <c r="S4" s="170">
        <v>0</v>
      </c>
      <c r="T4" s="137">
        <v>0</v>
      </c>
      <c r="U4" s="190"/>
      <c r="V4" s="170">
        <v>0</v>
      </c>
      <c r="W4" s="137">
        <v>0</v>
      </c>
      <c r="Y4" s="166">
        <v>0</v>
      </c>
      <c r="Z4" s="30">
        <v>0</v>
      </c>
      <c r="AB4" s="31">
        <v>1000</v>
      </c>
      <c r="AC4" s="31">
        <v>1000</v>
      </c>
      <c r="AE4" s="33">
        <v>1000</v>
      </c>
      <c r="AF4" s="33">
        <v>1000</v>
      </c>
      <c r="AH4" s="32">
        <v>1000</v>
      </c>
      <c r="AI4" s="32">
        <v>1000</v>
      </c>
      <c r="AK4" s="50">
        <f t="shared" ref="AK4:AK62" si="1">(T4+W4+Z4+AC4+AF4+AI4)/6</f>
        <v>500</v>
      </c>
    </row>
    <row r="5" spans="1:37" ht="15.75" customHeight="1" x14ac:dyDescent="0.25">
      <c r="A5" s="26"/>
      <c r="B5" s="140"/>
      <c r="C5" s="107" t="s">
        <v>77</v>
      </c>
      <c r="D5" s="180"/>
      <c r="E5" s="145">
        <v>250</v>
      </c>
      <c r="F5" s="204">
        <f t="shared" si="0"/>
        <v>1</v>
      </c>
      <c r="G5" s="96">
        <v>250</v>
      </c>
      <c r="H5" s="96">
        <v>1000</v>
      </c>
      <c r="I5" s="117">
        <v>1000</v>
      </c>
      <c r="J5" s="180"/>
      <c r="K5" s="157">
        <v>1000</v>
      </c>
      <c r="L5" s="70">
        <v>1000</v>
      </c>
      <c r="M5" s="130">
        <v>1000</v>
      </c>
      <c r="N5" s="180"/>
      <c r="O5" s="155">
        <v>1000</v>
      </c>
      <c r="P5" s="30">
        <v>0</v>
      </c>
      <c r="Q5" s="115">
        <v>1500</v>
      </c>
      <c r="R5" s="184"/>
      <c r="S5" s="170">
        <v>0</v>
      </c>
      <c r="T5" s="137">
        <v>0</v>
      </c>
      <c r="U5" s="190"/>
      <c r="V5" s="170">
        <v>0</v>
      </c>
      <c r="W5" s="137">
        <v>0</v>
      </c>
      <c r="Y5" s="166">
        <v>0</v>
      </c>
      <c r="Z5" s="30">
        <v>0</v>
      </c>
      <c r="AB5" s="31">
        <v>1000</v>
      </c>
      <c r="AC5" s="31">
        <v>1000</v>
      </c>
      <c r="AE5" s="32">
        <v>1000</v>
      </c>
      <c r="AF5" s="32">
        <v>1000</v>
      </c>
      <c r="AH5" s="33">
        <v>1000</v>
      </c>
      <c r="AI5" s="33">
        <v>1000</v>
      </c>
      <c r="AK5" s="50">
        <f t="shared" si="1"/>
        <v>500</v>
      </c>
    </row>
    <row r="6" spans="1:37" ht="15.75" customHeight="1" x14ac:dyDescent="0.25">
      <c r="A6" s="26"/>
      <c r="B6" s="140"/>
      <c r="C6" s="107" t="s">
        <v>78</v>
      </c>
      <c r="D6" s="180"/>
      <c r="E6" s="145">
        <v>250</v>
      </c>
      <c r="F6" s="204">
        <f t="shared" si="0"/>
        <v>1</v>
      </c>
      <c r="G6" s="96">
        <v>250</v>
      </c>
      <c r="H6" s="96">
        <v>1000</v>
      </c>
      <c r="I6" s="117">
        <v>1000</v>
      </c>
      <c r="J6" s="180"/>
      <c r="K6" s="157">
        <v>1000</v>
      </c>
      <c r="L6" s="70">
        <v>1000</v>
      </c>
      <c r="M6" s="130">
        <v>1000</v>
      </c>
      <c r="N6" s="180"/>
      <c r="O6" s="155">
        <v>1000</v>
      </c>
      <c r="P6" s="30">
        <v>0</v>
      </c>
      <c r="Q6" s="115">
        <v>1000</v>
      </c>
      <c r="R6" s="184"/>
      <c r="S6" s="170">
        <v>0</v>
      </c>
      <c r="T6" s="137">
        <v>0</v>
      </c>
      <c r="U6" s="190"/>
      <c r="V6" s="170">
        <v>0</v>
      </c>
      <c r="W6" s="137">
        <v>0</v>
      </c>
      <c r="Y6" s="166">
        <v>0</v>
      </c>
      <c r="Z6" s="30">
        <v>0</v>
      </c>
      <c r="AB6" s="31">
        <v>1000</v>
      </c>
      <c r="AC6" s="31">
        <v>1000</v>
      </c>
      <c r="AE6" s="33">
        <v>1000</v>
      </c>
      <c r="AF6" s="33">
        <v>1000</v>
      </c>
      <c r="AH6" s="32">
        <v>1000</v>
      </c>
      <c r="AI6" s="32">
        <v>1000</v>
      </c>
      <c r="AK6" s="50">
        <f t="shared" si="1"/>
        <v>500</v>
      </c>
    </row>
    <row r="7" spans="1:37" ht="15.75" customHeight="1" x14ac:dyDescent="0.25">
      <c r="A7" s="26"/>
      <c r="B7" s="140"/>
      <c r="C7" s="107" t="s">
        <v>79</v>
      </c>
      <c r="D7" s="180"/>
      <c r="E7" s="145">
        <f>150+250+75+350+250+150+15+78+150</f>
        <v>1468</v>
      </c>
      <c r="F7" s="204">
        <f>E7/G7</f>
        <v>2.9359999999999999</v>
      </c>
      <c r="G7" s="90">
        <v>500</v>
      </c>
      <c r="H7" s="90">
        <v>500</v>
      </c>
      <c r="I7" s="118">
        <v>440</v>
      </c>
      <c r="J7" s="180"/>
      <c r="K7" s="158">
        <v>500</v>
      </c>
      <c r="L7" s="72">
        <v>500</v>
      </c>
      <c r="M7" s="131"/>
      <c r="N7" s="180"/>
      <c r="O7" s="155">
        <v>500</v>
      </c>
      <c r="P7" s="34">
        <v>0</v>
      </c>
      <c r="Q7" s="131"/>
      <c r="R7" s="186"/>
      <c r="S7" s="172">
        <v>0</v>
      </c>
      <c r="T7" s="139">
        <v>91</v>
      </c>
      <c r="U7" s="190"/>
      <c r="V7" s="172">
        <v>0</v>
      </c>
      <c r="W7" s="137">
        <v>0</v>
      </c>
      <c r="Y7" s="177">
        <v>0</v>
      </c>
      <c r="Z7" s="30">
        <v>0</v>
      </c>
      <c r="AB7" s="35">
        <v>500</v>
      </c>
      <c r="AC7" s="35">
        <v>440</v>
      </c>
      <c r="AE7" s="29">
        <v>500</v>
      </c>
      <c r="AF7" s="29">
        <v>500</v>
      </c>
      <c r="AH7" s="28">
        <v>500</v>
      </c>
      <c r="AI7" s="28">
        <v>140.86000000000001</v>
      </c>
      <c r="AK7" s="50">
        <f t="shared" si="1"/>
        <v>195.31000000000003</v>
      </c>
    </row>
    <row r="8" spans="1:37" ht="15.75" customHeight="1" x14ac:dyDescent="0.25">
      <c r="A8" s="26"/>
      <c r="B8" s="140"/>
      <c r="C8" s="107" t="s">
        <v>80</v>
      </c>
      <c r="D8" s="180"/>
      <c r="E8" s="146">
        <f>SUM(E3:E7)</f>
        <v>3468</v>
      </c>
      <c r="F8" s="204">
        <f>E8/G8</f>
        <v>1.3872</v>
      </c>
      <c r="G8" s="102">
        <f>SUM(G3:G7)</f>
        <v>2500</v>
      </c>
      <c r="H8" s="97">
        <f>SUM(H3:H7)</f>
        <v>5000</v>
      </c>
      <c r="I8" s="119">
        <f>SUM(I3:I7)</f>
        <v>4940</v>
      </c>
      <c r="J8" s="180"/>
      <c r="K8" s="159">
        <f>SUM(K3:K7)</f>
        <v>5000</v>
      </c>
      <c r="L8" s="21">
        <f>SUM(L3:L7)</f>
        <v>5000</v>
      </c>
      <c r="M8" s="116">
        <f>SUM(M3:M7)</f>
        <v>4500</v>
      </c>
      <c r="N8" s="180"/>
      <c r="O8" s="155">
        <f>SUM(O3:O7)</f>
        <v>5000</v>
      </c>
      <c r="P8" s="21">
        <v>0</v>
      </c>
      <c r="Q8" s="116">
        <f>SUM(Q3:Q7)</f>
        <v>5500</v>
      </c>
      <c r="R8" s="185"/>
      <c r="S8" s="171">
        <v>0</v>
      </c>
      <c r="T8" s="138">
        <v>91</v>
      </c>
      <c r="U8" s="190"/>
      <c r="V8" s="171">
        <v>0</v>
      </c>
      <c r="W8" s="138">
        <v>0</v>
      </c>
      <c r="Y8" s="176">
        <v>0</v>
      </c>
      <c r="Z8" s="21">
        <v>0</v>
      </c>
      <c r="AB8" s="22">
        <v>5000</v>
      </c>
      <c r="AC8" s="22">
        <v>4940</v>
      </c>
      <c r="AE8" s="33">
        <v>5000</v>
      </c>
      <c r="AF8" s="33">
        <v>5000</v>
      </c>
      <c r="AH8" s="32">
        <v>5000</v>
      </c>
      <c r="AI8" s="32">
        <v>4640.8599999999997</v>
      </c>
      <c r="AK8" s="50">
        <f t="shared" si="1"/>
        <v>2445.31</v>
      </c>
    </row>
    <row r="9" spans="1:37" ht="37.5" customHeight="1" x14ac:dyDescent="0.25">
      <c r="A9" s="20" t="s">
        <v>132</v>
      </c>
      <c r="B9" s="197"/>
      <c r="C9" s="107"/>
      <c r="D9" s="180"/>
      <c r="E9" s="147"/>
      <c r="F9" s="205"/>
      <c r="G9" s="91"/>
      <c r="H9" s="94"/>
      <c r="I9" s="120"/>
      <c r="J9" s="180"/>
      <c r="K9" s="160"/>
      <c r="L9" s="30"/>
      <c r="M9" s="115"/>
      <c r="N9" s="180"/>
      <c r="O9" s="155"/>
      <c r="P9" s="30"/>
      <c r="Q9" s="115"/>
      <c r="R9" s="184"/>
      <c r="S9" s="170"/>
      <c r="T9" s="137"/>
      <c r="U9" s="190"/>
      <c r="V9" s="170"/>
      <c r="W9" s="137"/>
      <c r="Y9" s="166"/>
      <c r="Z9" s="30"/>
      <c r="AB9" s="31"/>
      <c r="AC9" s="31"/>
      <c r="AE9" s="29"/>
      <c r="AF9" s="29"/>
      <c r="AH9" s="28"/>
      <c r="AI9" s="28"/>
    </row>
    <row r="10" spans="1:37" ht="15.75" customHeight="1" x14ac:dyDescent="0.25">
      <c r="A10" s="26"/>
      <c r="B10" s="140"/>
      <c r="C10" s="107" t="s">
        <v>81</v>
      </c>
      <c r="D10" s="180"/>
      <c r="E10" s="148">
        <f>1721*12</f>
        <v>20652</v>
      </c>
      <c r="F10" s="204">
        <f t="shared" ref="F10:F22" si="2">E10/G10</f>
        <v>1</v>
      </c>
      <c r="G10" s="93">
        <v>20652</v>
      </c>
      <c r="H10" s="93">
        <v>20652</v>
      </c>
      <c r="I10" s="121">
        <v>17142.5</v>
      </c>
      <c r="J10" s="180"/>
      <c r="K10" s="148">
        <v>20652</v>
      </c>
      <c r="L10" s="70">
        <v>20247</v>
      </c>
      <c r="M10" s="130">
        <v>15978.76</v>
      </c>
      <c r="N10" s="180"/>
      <c r="O10" s="155">
        <v>20247</v>
      </c>
      <c r="P10" s="30"/>
      <c r="Q10" s="115">
        <f>8658</f>
        <v>8658</v>
      </c>
      <c r="R10" s="184"/>
      <c r="S10" s="170">
        <v>23521</v>
      </c>
      <c r="T10" s="137">
        <v>21499</v>
      </c>
      <c r="U10" s="190"/>
      <c r="V10" s="170">
        <v>21499</v>
      </c>
      <c r="W10" s="137">
        <v>21499</v>
      </c>
      <c r="Y10" s="166">
        <v>21499</v>
      </c>
      <c r="Z10" s="30">
        <v>21499</v>
      </c>
      <c r="AB10" s="31">
        <v>18490</v>
      </c>
      <c r="AC10" s="31">
        <v>18490</v>
      </c>
      <c r="AE10" s="33">
        <v>16565</v>
      </c>
      <c r="AF10" s="33">
        <v>16565</v>
      </c>
      <c r="AH10" s="32">
        <v>16565</v>
      </c>
      <c r="AI10" s="32">
        <v>16565</v>
      </c>
      <c r="AK10" s="50">
        <f t="shared" si="1"/>
        <v>19352.833333333332</v>
      </c>
    </row>
    <row r="11" spans="1:37" ht="15.75" customHeight="1" x14ac:dyDescent="0.25">
      <c r="A11" s="26" t="s">
        <v>136</v>
      </c>
      <c r="B11" s="140"/>
      <c r="C11" s="107" t="s">
        <v>82</v>
      </c>
      <c r="D11" s="180"/>
      <c r="E11" s="149">
        <f>691.67*12</f>
        <v>8300.0399999999991</v>
      </c>
      <c r="F11" s="204">
        <f t="shared" si="2"/>
        <v>1.0000048192771083</v>
      </c>
      <c r="G11" s="98">
        <v>8300</v>
      </c>
      <c r="H11" s="98">
        <v>8300</v>
      </c>
      <c r="I11" s="122">
        <v>6916.7</v>
      </c>
      <c r="J11" s="180"/>
      <c r="K11" s="149">
        <v>8300</v>
      </c>
      <c r="L11" s="72">
        <v>10000</v>
      </c>
      <c r="M11" s="132">
        <v>6420.54</v>
      </c>
      <c r="N11" s="180"/>
      <c r="O11" s="155">
        <v>10000</v>
      </c>
      <c r="P11" s="34"/>
      <c r="Q11" s="131">
        <v>4855</v>
      </c>
      <c r="R11" s="186"/>
      <c r="S11" s="172">
        <v>33572</v>
      </c>
      <c r="T11" s="139">
        <v>25982</v>
      </c>
      <c r="U11" s="190"/>
      <c r="V11" s="172">
        <v>33572</v>
      </c>
      <c r="W11" s="139">
        <v>33572</v>
      </c>
      <c r="Y11" s="177">
        <v>33572</v>
      </c>
      <c r="Z11" s="34">
        <v>33572</v>
      </c>
      <c r="AB11" s="35">
        <v>33572</v>
      </c>
      <c r="AC11" s="35">
        <v>33572</v>
      </c>
      <c r="AE11" s="32">
        <v>33572</v>
      </c>
      <c r="AF11" s="32">
        <v>33572</v>
      </c>
      <c r="AH11" s="33">
        <v>32445</v>
      </c>
      <c r="AI11" s="33">
        <v>32445</v>
      </c>
      <c r="AK11" s="50">
        <f t="shared" si="1"/>
        <v>32119.166666666668</v>
      </c>
    </row>
    <row r="12" spans="1:37" ht="15.75" customHeight="1" x14ac:dyDescent="0.25">
      <c r="A12" s="26"/>
      <c r="B12" s="140"/>
      <c r="C12" s="107" t="s">
        <v>83</v>
      </c>
      <c r="D12" s="180"/>
      <c r="E12" s="150">
        <f>SUM(E10:E11)</f>
        <v>28952.04</v>
      </c>
      <c r="F12" s="204">
        <f t="shared" si="2"/>
        <v>1.0000013815971263</v>
      </c>
      <c r="G12" s="92">
        <f>SUM(G10:G11)</f>
        <v>28952</v>
      </c>
      <c r="H12" s="92">
        <f>SUM(H10:H11)</f>
        <v>28952</v>
      </c>
      <c r="I12" s="123">
        <f>SUM(I10:I11)</f>
        <v>24059.200000000001</v>
      </c>
      <c r="J12" s="180"/>
      <c r="K12" s="150">
        <f>SUM(K10:K11)</f>
        <v>28952</v>
      </c>
      <c r="L12" s="30">
        <f>SUM(L10:L11)</f>
        <v>30247</v>
      </c>
      <c r="M12" s="115">
        <f>SUM(M10:M11)</f>
        <v>22399.3</v>
      </c>
      <c r="N12" s="180"/>
      <c r="O12" s="155">
        <f>SUM(O10:O11)</f>
        <v>30247</v>
      </c>
      <c r="P12" s="30">
        <v>28546</v>
      </c>
      <c r="Q12" s="115">
        <f>SUM(Q10:Q11)</f>
        <v>13513</v>
      </c>
      <c r="R12" s="184"/>
      <c r="S12" s="170">
        <v>57093</v>
      </c>
      <c r="T12" s="137">
        <v>47481</v>
      </c>
      <c r="U12" s="190"/>
      <c r="V12" s="170">
        <v>55071</v>
      </c>
      <c r="W12" s="137">
        <v>55071</v>
      </c>
      <c r="Y12" s="166">
        <v>55071</v>
      </c>
      <c r="Z12" s="30">
        <v>55071</v>
      </c>
      <c r="AB12" s="31">
        <v>52062</v>
      </c>
      <c r="AC12" s="31">
        <v>52062</v>
      </c>
      <c r="AE12" s="32"/>
      <c r="AF12" s="32"/>
      <c r="AH12" s="33"/>
      <c r="AI12" s="33"/>
      <c r="AK12" s="50">
        <f t="shared" si="1"/>
        <v>34947.5</v>
      </c>
    </row>
    <row r="13" spans="1:37" ht="15.75" customHeight="1" x14ac:dyDescent="0.25">
      <c r="A13" s="26" t="s">
        <v>160</v>
      </c>
      <c r="B13" s="140"/>
      <c r="C13" s="107" t="s">
        <v>113</v>
      </c>
      <c r="D13" s="180"/>
      <c r="E13" s="148">
        <f>G120</f>
        <v>856</v>
      </c>
      <c r="F13" s="204">
        <f t="shared" si="2"/>
        <v>0.98617511520737322</v>
      </c>
      <c r="G13" s="93">
        <v>868</v>
      </c>
      <c r="H13" s="93">
        <v>868</v>
      </c>
      <c r="I13" s="121">
        <v>868</v>
      </c>
      <c r="J13" s="180"/>
      <c r="K13" s="148">
        <v>868</v>
      </c>
      <c r="L13" s="70">
        <v>1998</v>
      </c>
      <c r="M13" s="130">
        <f>(856/12)*9</f>
        <v>642</v>
      </c>
      <c r="N13" s="180"/>
      <c r="O13" s="155">
        <v>1998</v>
      </c>
      <c r="P13" s="30">
        <v>856.38</v>
      </c>
      <c r="Q13" s="115"/>
      <c r="R13" s="184"/>
      <c r="S13" s="170">
        <v>7993.02</v>
      </c>
      <c r="T13" s="137">
        <v>4662</v>
      </c>
      <c r="U13" s="190"/>
      <c r="V13" s="170">
        <v>7710</v>
      </c>
      <c r="W13" s="137">
        <v>7710</v>
      </c>
      <c r="Y13" s="166">
        <v>7710</v>
      </c>
      <c r="Z13" s="30">
        <v>7710</v>
      </c>
      <c r="AB13" s="31">
        <v>7596</v>
      </c>
      <c r="AC13" s="31">
        <v>7596</v>
      </c>
      <c r="AE13" s="33">
        <v>7019</v>
      </c>
      <c r="AF13" s="33">
        <v>7019</v>
      </c>
      <c r="AH13" s="32">
        <v>6861</v>
      </c>
      <c r="AI13" s="32">
        <v>6861</v>
      </c>
      <c r="AK13" s="50">
        <f t="shared" si="1"/>
        <v>6926.333333333333</v>
      </c>
    </row>
    <row r="14" spans="1:37" ht="15.75" customHeight="1" x14ac:dyDescent="0.25">
      <c r="A14" s="26" t="s">
        <v>159</v>
      </c>
      <c r="B14" s="140"/>
      <c r="C14" s="107" t="s">
        <v>21</v>
      </c>
      <c r="D14" s="180"/>
      <c r="E14" s="148">
        <f>G123</f>
        <v>10324</v>
      </c>
      <c r="F14" s="204">
        <f t="shared" si="2"/>
        <v>1</v>
      </c>
      <c r="G14" s="93">
        <v>10324</v>
      </c>
      <c r="H14" s="93">
        <v>10324</v>
      </c>
      <c r="I14" s="124">
        <v>10324</v>
      </c>
      <c r="J14" s="180"/>
      <c r="K14" s="148">
        <v>10324</v>
      </c>
      <c r="L14" s="70">
        <v>10324</v>
      </c>
      <c r="M14" s="133">
        <f>(10324/12)*9</f>
        <v>7743</v>
      </c>
      <c r="N14" s="180"/>
      <c r="O14" s="155">
        <v>10324</v>
      </c>
      <c r="P14" s="30">
        <v>9556</v>
      </c>
      <c r="Q14" s="115"/>
      <c r="R14" s="184"/>
      <c r="S14" s="170">
        <v>9500</v>
      </c>
      <c r="T14" s="137">
        <v>6867</v>
      </c>
      <c r="U14" s="190"/>
      <c r="V14" s="170">
        <v>12706.8</v>
      </c>
      <c r="W14" s="137">
        <v>12706.8</v>
      </c>
      <c r="Y14" s="166">
        <v>12600</v>
      </c>
      <c r="Z14" s="30">
        <v>12706.8</v>
      </c>
      <c r="AB14" s="31">
        <v>11695</v>
      </c>
      <c r="AC14" s="31">
        <v>11977</v>
      </c>
      <c r="AE14" s="32">
        <v>10168</v>
      </c>
      <c r="AF14" s="32">
        <v>10168</v>
      </c>
      <c r="AH14" s="33">
        <v>9800</v>
      </c>
      <c r="AI14" s="33">
        <v>9800</v>
      </c>
      <c r="AK14" s="50">
        <f t="shared" si="1"/>
        <v>10704.266666666666</v>
      </c>
    </row>
    <row r="15" spans="1:37" ht="15.75" customHeight="1" x14ac:dyDescent="0.25">
      <c r="A15" s="26" t="s">
        <v>159</v>
      </c>
      <c r="B15" s="140"/>
      <c r="C15" s="107" t="s">
        <v>22</v>
      </c>
      <c r="D15" s="180"/>
      <c r="E15" s="148">
        <f>G124</f>
        <v>175</v>
      </c>
      <c r="F15" s="204">
        <f t="shared" si="2"/>
        <v>1</v>
      </c>
      <c r="G15" s="93">
        <v>175</v>
      </c>
      <c r="H15" s="93">
        <v>175</v>
      </c>
      <c r="I15" s="125">
        <v>175</v>
      </c>
      <c r="J15" s="180"/>
      <c r="K15" s="148">
        <v>175</v>
      </c>
      <c r="L15" s="70">
        <v>175</v>
      </c>
      <c r="M15" s="134">
        <f>(175/12)*9</f>
        <v>131.25</v>
      </c>
      <c r="N15" s="180"/>
      <c r="O15" s="155">
        <v>175</v>
      </c>
      <c r="P15" s="30">
        <v>175</v>
      </c>
      <c r="Q15" s="115"/>
      <c r="R15" s="184"/>
      <c r="S15" s="170">
        <v>175</v>
      </c>
      <c r="T15" s="137">
        <v>174</v>
      </c>
      <c r="U15" s="190"/>
      <c r="V15" s="170">
        <v>170</v>
      </c>
      <c r="W15" s="137">
        <v>174</v>
      </c>
      <c r="Y15" s="166">
        <v>170</v>
      </c>
      <c r="Z15" s="30">
        <v>174</v>
      </c>
      <c r="AB15" s="31">
        <v>170</v>
      </c>
      <c r="AC15" s="31">
        <v>167</v>
      </c>
      <c r="AE15" s="28">
        <v>250</v>
      </c>
      <c r="AF15" s="28">
        <v>165.6</v>
      </c>
      <c r="AH15" s="29">
        <v>250</v>
      </c>
      <c r="AI15" s="29">
        <v>224</v>
      </c>
      <c r="AK15" s="50">
        <f t="shared" si="1"/>
        <v>179.76666666666665</v>
      </c>
    </row>
    <row r="16" spans="1:37" ht="15.75" customHeight="1" x14ac:dyDescent="0.25">
      <c r="A16" s="26" t="s">
        <v>159</v>
      </c>
      <c r="B16" s="140"/>
      <c r="C16" s="107" t="s">
        <v>114</v>
      </c>
      <c r="D16" s="180"/>
      <c r="E16" s="148">
        <f>G121</f>
        <v>428</v>
      </c>
      <c r="F16" s="204">
        <f t="shared" si="2"/>
        <v>1</v>
      </c>
      <c r="G16" s="93">
        <v>428</v>
      </c>
      <c r="H16" s="93">
        <v>428</v>
      </c>
      <c r="I16" s="121">
        <v>428</v>
      </c>
      <c r="J16" s="180"/>
      <c r="K16" s="148">
        <v>428</v>
      </c>
      <c r="L16" s="70">
        <v>428</v>
      </c>
      <c r="M16" s="130">
        <f>(428/12)*9</f>
        <v>321</v>
      </c>
      <c r="N16" s="180"/>
      <c r="O16" s="155">
        <v>428</v>
      </c>
      <c r="P16" s="30">
        <v>428.19</v>
      </c>
      <c r="Q16" s="115"/>
      <c r="R16" s="184"/>
      <c r="S16" s="170">
        <v>856.39499999999998</v>
      </c>
      <c r="T16" s="137">
        <v>449</v>
      </c>
      <c r="U16" s="190"/>
      <c r="V16" s="170">
        <v>826</v>
      </c>
      <c r="W16" s="137">
        <v>826</v>
      </c>
      <c r="Y16" s="166">
        <v>826</v>
      </c>
      <c r="Z16" s="30">
        <v>826</v>
      </c>
      <c r="AB16" s="31">
        <v>781</v>
      </c>
      <c r="AC16" s="31">
        <v>781</v>
      </c>
      <c r="AE16" s="29">
        <v>752</v>
      </c>
      <c r="AF16" s="29">
        <v>752</v>
      </c>
      <c r="AH16" s="28">
        <v>735</v>
      </c>
      <c r="AI16" s="28">
        <v>735</v>
      </c>
      <c r="AK16" s="50">
        <f t="shared" si="1"/>
        <v>728.16666666666663</v>
      </c>
    </row>
    <row r="17" spans="1:37" ht="15.75" customHeight="1" x14ac:dyDescent="0.25">
      <c r="A17" s="26"/>
      <c r="B17" s="140"/>
      <c r="C17" s="107" t="s">
        <v>115</v>
      </c>
      <c r="D17" s="180"/>
      <c r="E17" s="148">
        <f>190.33*12</f>
        <v>2283.96</v>
      </c>
      <c r="F17" s="204">
        <f t="shared" si="2"/>
        <v>0.9861658031088083</v>
      </c>
      <c r="G17" s="93">
        <v>2316</v>
      </c>
      <c r="H17" s="93">
        <v>2316</v>
      </c>
      <c r="I17" s="121">
        <v>1903.3</v>
      </c>
      <c r="J17" s="180"/>
      <c r="K17" s="148">
        <v>2316</v>
      </c>
      <c r="L17" s="70">
        <v>2284</v>
      </c>
      <c r="M17" s="130">
        <f>190.33*9</f>
        <v>1712.97</v>
      </c>
      <c r="N17" s="180"/>
      <c r="O17" s="155">
        <v>2284</v>
      </c>
      <c r="P17" s="30">
        <v>2283.6799999999998</v>
      </c>
      <c r="Q17" s="115">
        <v>453.19</v>
      </c>
      <c r="R17" s="184"/>
      <c r="S17" s="170">
        <v>4567.4400000000005</v>
      </c>
      <c r="T17" s="137">
        <v>3398</v>
      </c>
      <c r="U17" s="190"/>
      <c r="V17" s="170">
        <v>4406</v>
      </c>
      <c r="W17" s="137">
        <v>4406</v>
      </c>
      <c r="Y17" s="166">
        <v>4406</v>
      </c>
      <c r="Z17" s="30">
        <v>4406</v>
      </c>
      <c r="AB17" s="31">
        <v>4165</v>
      </c>
      <c r="AC17" s="31">
        <v>4165</v>
      </c>
      <c r="AE17" s="33">
        <v>4011</v>
      </c>
      <c r="AF17" s="33">
        <v>4011</v>
      </c>
      <c r="AH17" s="32">
        <v>3921</v>
      </c>
      <c r="AI17" s="32">
        <v>3921</v>
      </c>
      <c r="AK17" s="50">
        <f t="shared" si="1"/>
        <v>4051.1666666666665</v>
      </c>
    </row>
    <row r="18" spans="1:37" ht="15.75" customHeight="1" x14ac:dyDescent="0.25">
      <c r="A18" s="26"/>
      <c r="B18" s="140"/>
      <c r="C18" s="107" t="s">
        <v>23</v>
      </c>
      <c r="D18" s="180"/>
      <c r="E18" s="148">
        <v>250</v>
      </c>
      <c r="F18" s="204">
        <f t="shared" si="2"/>
        <v>2.5</v>
      </c>
      <c r="G18" s="93">
        <v>100</v>
      </c>
      <c r="H18" s="93">
        <v>100</v>
      </c>
      <c r="I18" s="121">
        <v>40</v>
      </c>
      <c r="J18" s="180"/>
      <c r="K18" s="148">
        <v>100</v>
      </c>
      <c r="L18" s="70">
        <v>100</v>
      </c>
      <c r="M18" s="130">
        <v>0</v>
      </c>
      <c r="N18" s="180"/>
      <c r="O18" s="155">
        <v>100</v>
      </c>
      <c r="P18" s="30">
        <v>100</v>
      </c>
      <c r="Q18" s="115"/>
      <c r="R18" s="184"/>
      <c r="S18" s="170">
        <v>250</v>
      </c>
      <c r="T18" s="137">
        <v>0</v>
      </c>
      <c r="U18" s="190"/>
      <c r="V18" s="170">
        <v>250</v>
      </c>
      <c r="W18" s="137">
        <v>100</v>
      </c>
      <c r="Y18" s="166">
        <v>250</v>
      </c>
      <c r="Z18" s="30">
        <v>205</v>
      </c>
      <c r="AB18" s="31">
        <v>250</v>
      </c>
      <c r="AC18" s="31">
        <v>0</v>
      </c>
      <c r="AE18" s="29">
        <v>250</v>
      </c>
      <c r="AF18" s="29">
        <v>353.14</v>
      </c>
      <c r="AH18" s="28">
        <v>250</v>
      </c>
      <c r="AI18" s="28">
        <v>234</v>
      </c>
      <c r="AK18" s="50">
        <f t="shared" si="1"/>
        <v>148.69</v>
      </c>
    </row>
    <row r="19" spans="1:37" ht="15.75" customHeight="1" x14ac:dyDescent="0.25">
      <c r="A19" s="26"/>
      <c r="B19" s="140"/>
      <c r="C19" s="107" t="s">
        <v>24</v>
      </c>
      <c r="D19" s="180"/>
      <c r="E19" s="149"/>
      <c r="F19" s="204">
        <f t="shared" si="2"/>
        <v>0</v>
      </c>
      <c r="G19" s="98">
        <v>1284</v>
      </c>
      <c r="H19" s="98">
        <v>1284</v>
      </c>
      <c r="I19" s="122">
        <v>129.47</v>
      </c>
      <c r="J19" s="180"/>
      <c r="K19" s="149">
        <v>1284</v>
      </c>
      <c r="L19" s="72">
        <v>1380</v>
      </c>
      <c r="M19" s="132">
        <v>718.4</v>
      </c>
      <c r="N19" s="180"/>
      <c r="O19" s="155">
        <v>1380</v>
      </c>
      <c r="P19" s="34">
        <v>1380</v>
      </c>
      <c r="Q19" s="131">
        <v>3926.2</v>
      </c>
      <c r="R19" s="186"/>
      <c r="S19" s="172">
        <v>1344.0000000000002</v>
      </c>
      <c r="T19" s="139">
        <v>646</v>
      </c>
      <c r="U19" s="190"/>
      <c r="V19" s="172">
        <v>2497.5</v>
      </c>
      <c r="W19" s="139">
        <v>810</v>
      </c>
      <c r="Y19" s="177">
        <v>2497.5</v>
      </c>
      <c r="Z19" s="34">
        <v>614.77</v>
      </c>
      <c r="AB19" s="35">
        <v>2497.5</v>
      </c>
      <c r="AC19" s="35">
        <v>2003</v>
      </c>
      <c r="AE19" s="33">
        <v>2310</v>
      </c>
      <c r="AF19" s="33">
        <v>2243</v>
      </c>
      <c r="AH19" s="32">
        <v>2457</v>
      </c>
      <c r="AI19" s="32">
        <v>2280</v>
      </c>
      <c r="AK19" s="50">
        <f t="shared" si="1"/>
        <v>1432.7950000000001</v>
      </c>
    </row>
    <row r="20" spans="1:37" ht="15.75" customHeight="1" x14ac:dyDescent="0.25">
      <c r="A20" s="26"/>
      <c r="B20" s="140"/>
      <c r="C20" s="107" t="s">
        <v>84</v>
      </c>
      <c r="D20" s="180"/>
      <c r="E20" s="150">
        <f>SUM(E12:E19)</f>
        <v>43269</v>
      </c>
      <c r="F20" s="204">
        <f t="shared" si="2"/>
        <v>0.97349652394987285</v>
      </c>
      <c r="G20" s="92">
        <f>SUM(G12:G19)</f>
        <v>44447</v>
      </c>
      <c r="H20" s="92">
        <f>SUM(H12:H19)</f>
        <v>44447</v>
      </c>
      <c r="I20" s="123">
        <f>SUM(I12:I19)</f>
        <v>37926.97</v>
      </c>
      <c r="J20" s="180"/>
      <c r="K20" s="148">
        <f>SUM(K12:K19)</f>
        <v>44447</v>
      </c>
      <c r="L20" s="30">
        <f>SUM(L12:L19)</f>
        <v>46936</v>
      </c>
      <c r="M20" s="115">
        <f>SUM(M12:M19)</f>
        <v>33667.919999999998</v>
      </c>
      <c r="N20" s="180"/>
      <c r="O20" s="168">
        <f>SUM(O12:O19)</f>
        <v>46936</v>
      </c>
      <c r="P20" s="30">
        <v>43325.250000000007</v>
      </c>
      <c r="Q20" s="115">
        <f>SUM(Q12:Q19)</f>
        <v>17892.39</v>
      </c>
      <c r="R20" s="184"/>
      <c r="S20" s="170">
        <v>81778.85500000001</v>
      </c>
      <c r="T20" s="137">
        <v>63677</v>
      </c>
      <c r="U20" s="192"/>
      <c r="V20" s="170">
        <v>83637.3</v>
      </c>
      <c r="W20" s="137">
        <v>81803.8</v>
      </c>
      <c r="Y20" s="166">
        <v>83530.5</v>
      </c>
      <c r="Z20" s="30">
        <v>81713.570000000007</v>
      </c>
      <c r="AB20" s="31">
        <v>79216.5</v>
      </c>
      <c r="AC20" s="31">
        <v>78751</v>
      </c>
      <c r="AE20" s="32">
        <v>74897</v>
      </c>
      <c r="AF20" s="32">
        <v>74848.740000000005</v>
      </c>
      <c r="AH20" s="33">
        <v>73284</v>
      </c>
      <c r="AI20" s="33">
        <v>73065</v>
      </c>
      <c r="AK20" s="50">
        <f t="shared" si="1"/>
        <v>75643.184999999998</v>
      </c>
    </row>
    <row r="21" spans="1:37" ht="15.75" customHeight="1" x14ac:dyDescent="0.25">
      <c r="A21" s="26"/>
      <c r="B21" s="140"/>
      <c r="C21" s="107" t="s">
        <v>25</v>
      </c>
      <c r="D21" s="180"/>
      <c r="E21" s="149">
        <f>-(375*12)</f>
        <v>-4500</v>
      </c>
      <c r="F21" s="204">
        <f t="shared" si="2"/>
        <v>1</v>
      </c>
      <c r="G21" s="98">
        <v>-4500</v>
      </c>
      <c r="H21" s="98">
        <v>-4500</v>
      </c>
      <c r="I21" s="122">
        <v>-4500</v>
      </c>
      <c r="J21" s="180"/>
      <c r="K21" s="149">
        <v>-4500</v>
      </c>
      <c r="L21" s="34">
        <v>-4500</v>
      </c>
      <c r="M21" s="131">
        <v>-4500</v>
      </c>
      <c r="N21" s="180"/>
      <c r="O21" s="155">
        <v>-4500</v>
      </c>
      <c r="P21" s="34">
        <v>-4500</v>
      </c>
      <c r="Q21" s="131">
        <v>-4500</v>
      </c>
      <c r="R21" s="186"/>
      <c r="S21" s="172">
        <v>-4500</v>
      </c>
      <c r="T21" s="139">
        <v>-4500</v>
      </c>
      <c r="U21" s="190"/>
      <c r="V21" s="172">
        <v>-4500</v>
      </c>
      <c r="W21" s="139">
        <v>-4500</v>
      </c>
      <c r="Y21" s="177">
        <v>-4500</v>
      </c>
      <c r="Z21" s="34">
        <v>-4500</v>
      </c>
      <c r="AB21" s="35">
        <v>-4500</v>
      </c>
      <c r="AC21" s="35">
        <v>-4500</v>
      </c>
      <c r="AE21" s="33">
        <v>-4500</v>
      </c>
      <c r="AF21" s="33">
        <v>-4500</v>
      </c>
      <c r="AH21" s="32">
        <v>-4500</v>
      </c>
      <c r="AI21" s="32">
        <v>-4500</v>
      </c>
      <c r="AK21" s="50">
        <f t="shared" si="1"/>
        <v>-4500</v>
      </c>
    </row>
    <row r="22" spans="1:37" ht="14.25" customHeight="1" x14ac:dyDescent="0.25">
      <c r="A22" s="26"/>
      <c r="B22" s="140"/>
      <c r="C22" s="107" t="s">
        <v>26</v>
      </c>
      <c r="D22" s="180"/>
      <c r="E22" s="150">
        <f>E20+E21</f>
        <v>38769</v>
      </c>
      <c r="F22" s="204">
        <f t="shared" si="2"/>
        <v>0.97051092697824615</v>
      </c>
      <c r="G22" s="92">
        <f>G20+G21</f>
        <v>39947</v>
      </c>
      <c r="H22" s="92">
        <f>H20+H21</f>
        <v>39947</v>
      </c>
      <c r="I22" s="123">
        <f>I20+I21</f>
        <v>33426.97</v>
      </c>
      <c r="J22" s="180"/>
      <c r="K22" s="150">
        <f>K20+K21</f>
        <v>39947</v>
      </c>
      <c r="L22" s="21">
        <f>SUM(L20:L21)</f>
        <v>42436</v>
      </c>
      <c r="M22" s="116">
        <f>SUM(M20:M21)</f>
        <v>29167.919999999998</v>
      </c>
      <c r="N22" s="180"/>
      <c r="O22" s="168">
        <f>O20+O21</f>
        <v>42436</v>
      </c>
      <c r="P22" s="21">
        <v>38825.250000000007</v>
      </c>
      <c r="Q22" s="136">
        <f>Q20+Q21</f>
        <v>13392.39</v>
      </c>
      <c r="R22" s="185"/>
      <c r="S22" s="171">
        <v>77278.85500000001</v>
      </c>
      <c r="T22" s="138">
        <v>59177</v>
      </c>
      <c r="U22" s="192"/>
      <c r="V22" s="171">
        <v>79137.3</v>
      </c>
      <c r="W22" s="138">
        <v>77303.8</v>
      </c>
      <c r="Y22" s="176">
        <v>79030.5</v>
      </c>
      <c r="Z22" s="21">
        <v>77213.570000000007</v>
      </c>
      <c r="AB22" s="22">
        <v>74716.5</v>
      </c>
      <c r="AC22" s="22">
        <v>74251</v>
      </c>
      <c r="AE22" s="32">
        <v>70397</v>
      </c>
      <c r="AF22" s="32">
        <v>70348.740000000005</v>
      </c>
      <c r="AH22" s="33">
        <v>68784</v>
      </c>
      <c r="AI22" s="33">
        <v>68565</v>
      </c>
      <c r="AK22" s="50">
        <f t="shared" si="1"/>
        <v>71143.184999999998</v>
      </c>
    </row>
    <row r="23" spans="1:37" ht="40.5" customHeight="1" x14ac:dyDescent="0.25">
      <c r="A23" s="20" t="s">
        <v>116</v>
      </c>
      <c r="B23" s="197"/>
      <c r="C23" s="107"/>
      <c r="D23" s="180"/>
      <c r="E23" s="147"/>
      <c r="F23" s="222"/>
      <c r="G23" s="70"/>
      <c r="H23" s="94"/>
      <c r="I23" s="120"/>
      <c r="J23" s="180"/>
      <c r="K23" s="160"/>
      <c r="L23" s="30"/>
      <c r="M23" s="115"/>
      <c r="N23" s="180"/>
      <c r="O23" s="155"/>
      <c r="P23" s="30"/>
      <c r="Q23" s="115"/>
      <c r="R23" s="184"/>
      <c r="S23" s="170"/>
      <c r="T23" s="137"/>
      <c r="U23" s="190"/>
      <c r="V23" s="170"/>
      <c r="W23" s="137"/>
      <c r="Y23" s="178"/>
      <c r="Z23" s="36"/>
      <c r="AB23" s="37"/>
      <c r="AC23" s="37"/>
      <c r="AE23" s="28"/>
      <c r="AF23" s="28"/>
      <c r="AH23" s="29"/>
      <c r="AI23" s="29"/>
    </row>
    <row r="24" spans="1:37" ht="15.75" customHeight="1" x14ac:dyDescent="0.25">
      <c r="A24" s="26"/>
      <c r="B24" s="140"/>
      <c r="C24" s="107" t="s">
        <v>174</v>
      </c>
      <c r="D24" s="180"/>
      <c r="E24" s="148">
        <f>(25*328.56)+315.56+165+315.56</f>
        <v>9010.119999999999</v>
      </c>
      <c r="F24" s="204">
        <f t="shared" ref="F24:F27" si="3">E24/G24</f>
        <v>0.80591413237924858</v>
      </c>
      <c r="G24" s="93">
        <f>10.75*1040</f>
        <v>11180</v>
      </c>
      <c r="H24" s="93">
        <f>10.75*1040</f>
        <v>11180</v>
      </c>
      <c r="I24" s="121">
        <v>7471.1</v>
      </c>
      <c r="J24" s="180"/>
      <c r="K24" s="148">
        <f>10.75*1040</f>
        <v>11180</v>
      </c>
      <c r="L24" s="70">
        <v>10920</v>
      </c>
      <c r="M24" s="130">
        <v>7254.47</v>
      </c>
      <c r="N24" s="180"/>
      <c r="O24" s="155">
        <v>10920</v>
      </c>
      <c r="P24" s="30">
        <v>12688</v>
      </c>
      <c r="Q24" s="115">
        <v>10756.18</v>
      </c>
      <c r="R24" s="184"/>
      <c r="S24" s="170">
        <v>12324</v>
      </c>
      <c r="T24" s="137">
        <v>11960</v>
      </c>
      <c r="U24" s="190"/>
      <c r="V24" s="170">
        <v>11960</v>
      </c>
      <c r="W24" s="137">
        <v>11960</v>
      </c>
      <c r="Y24" s="166">
        <v>11544</v>
      </c>
      <c r="Z24" s="30">
        <v>11544</v>
      </c>
      <c r="AB24" s="31">
        <v>11045</v>
      </c>
      <c r="AC24" s="31">
        <v>11045</v>
      </c>
      <c r="AE24" s="32">
        <v>10640</v>
      </c>
      <c r="AF24" s="32">
        <v>10400</v>
      </c>
      <c r="AH24" s="33">
        <v>10400</v>
      </c>
      <c r="AI24" s="33">
        <v>10400</v>
      </c>
      <c r="AK24" s="50">
        <f t="shared" si="1"/>
        <v>11218.166666666666</v>
      </c>
    </row>
    <row r="25" spans="1:37" ht="15.75" customHeight="1" x14ac:dyDescent="0.25">
      <c r="A25" s="26"/>
      <c r="B25" s="140"/>
      <c r="C25" s="224" t="s">
        <v>28</v>
      </c>
      <c r="D25" s="180"/>
      <c r="E25" s="148">
        <f>((628.74+733.53+733.53+25.8+30.1+30.1+13+13+13+79.2+92.4+92.4)+E24)*0.0765</f>
        <v>879.36137999999983</v>
      </c>
      <c r="F25" s="204">
        <f t="shared" si="3"/>
        <v>1.0281681574239712</v>
      </c>
      <c r="G25" s="93">
        <f>G24*0.0765</f>
        <v>855.27</v>
      </c>
      <c r="H25" s="93">
        <f>H24*0.0765</f>
        <v>855.27</v>
      </c>
      <c r="I25" s="121">
        <f>I24*0.0765</f>
        <v>571.53915000000006</v>
      </c>
      <c r="J25" s="180"/>
      <c r="K25" s="148">
        <f>K24*0.0765</f>
        <v>855.27</v>
      </c>
      <c r="L25" s="70">
        <v>835.38</v>
      </c>
      <c r="M25" s="130">
        <f>M24*0.0765</f>
        <v>554.96695499999998</v>
      </c>
      <c r="N25" s="180"/>
      <c r="O25" s="155">
        <v>835.38</v>
      </c>
      <c r="P25" s="30">
        <v>970.63199999999995</v>
      </c>
      <c r="Q25" s="115">
        <f>Q24*0.0765</f>
        <v>822.84776999999997</v>
      </c>
      <c r="R25" s="184"/>
      <c r="S25" s="170">
        <v>942.78599999999994</v>
      </c>
      <c r="T25" s="137">
        <v>914.93999999999994</v>
      </c>
      <c r="U25" s="190"/>
      <c r="V25" s="170">
        <v>915</v>
      </c>
      <c r="W25" s="137">
        <v>914.93999999999994</v>
      </c>
      <c r="Y25" s="166">
        <v>883</v>
      </c>
      <c r="Z25" s="30">
        <v>883</v>
      </c>
      <c r="AB25" s="31">
        <v>845</v>
      </c>
      <c r="AC25" s="31">
        <v>845</v>
      </c>
      <c r="AE25" s="28">
        <v>814</v>
      </c>
      <c r="AF25" s="28">
        <v>795.6</v>
      </c>
      <c r="AH25" s="29">
        <v>795.6</v>
      </c>
      <c r="AI25" s="29">
        <v>795.6</v>
      </c>
      <c r="AK25" s="50">
        <f t="shared" si="1"/>
        <v>858.18000000000018</v>
      </c>
    </row>
    <row r="26" spans="1:37" ht="15.75" customHeight="1" x14ac:dyDescent="0.25">
      <c r="A26" s="26"/>
      <c r="B26" s="140"/>
      <c r="C26" s="107" t="s">
        <v>29</v>
      </c>
      <c r="D26" s="180"/>
      <c r="E26" s="149">
        <f>154.8+180.6</f>
        <v>335.4</v>
      </c>
      <c r="F26" s="204">
        <f t="shared" si="3"/>
        <v>1</v>
      </c>
      <c r="G26" s="98">
        <f>G24*0.03</f>
        <v>335.4</v>
      </c>
      <c r="H26" s="98">
        <f>H24*0.03</f>
        <v>335.4</v>
      </c>
      <c r="I26" s="122">
        <f>H24*0.03</f>
        <v>335.4</v>
      </c>
      <c r="J26" s="180"/>
      <c r="K26" s="149">
        <f>K24*0.03</f>
        <v>335.4</v>
      </c>
      <c r="L26" s="72">
        <v>328</v>
      </c>
      <c r="M26" s="132">
        <f>L24*0.03</f>
        <v>327.59999999999997</v>
      </c>
      <c r="N26" s="180"/>
      <c r="O26" s="155">
        <v>328</v>
      </c>
      <c r="P26" s="34">
        <v>381</v>
      </c>
      <c r="Q26" s="131">
        <f>Q24*0.03</f>
        <v>322.68540000000002</v>
      </c>
      <c r="R26" s="186"/>
      <c r="S26" s="172">
        <v>370</v>
      </c>
      <c r="T26" s="139">
        <v>359</v>
      </c>
      <c r="U26" s="193"/>
      <c r="V26" s="172">
        <v>359</v>
      </c>
      <c r="W26" s="139">
        <v>359</v>
      </c>
      <c r="Y26" s="166">
        <v>346</v>
      </c>
      <c r="Z26" s="34">
        <v>346</v>
      </c>
      <c r="AB26" s="35">
        <v>331</v>
      </c>
      <c r="AC26" s="35">
        <v>331</v>
      </c>
      <c r="AE26" s="29">
        <v>319</v>
      </c>
      <c r="AF26" s="29">
        <v>312</v>
      </c>
      <c r="AH26" s="28">
        <v>312</v>
      </c>
      <c r="AI26" s="28">
        <v>312</v>
      </c>
      <c r="AK26" s="50">
        <f t="shared" si="1"/>
        <v>336.5</v>
      </c>
    </row>
    <row r="27" spans="1:37" ht="15.75" customHeight="1" x14ac:dyDescent="0.25">
      <c r="A27" s="26"/>
      <c r="B27" s="140"/>
      <c r="C27" s="107" t="s">
        <v>30</v>
      </c>
      <c r="D27" s="180"/>
      <c r="E27" s="150">
        <f>SUM(E24:E26)</f>
        <v>10224.881379999999</v>
      </c>
      <c r="F27" s="204">
        <f t="shared" si="3"/>
        <v>0.82654224710545177</v>
      </c>
      <c r="G27" s="92">
        <f>G24+G25+G26</f>
        <v>12370.67</v>
      </c>
      <c r="H27" s="92">
        <f>H24+H25+H26</f>
        <v>12370.67</v>
      </c>
      <c r="I27" s="123">
        <f>SUM(I24:I26)</f>
        <v>8378.0391500000005</v>
      </c>
      <c r="J27" s="180"/>
      <c r="K27" s="150">
        <f>K24+K25+K26</f>
        <v>12370.67</v>
      </c>
      <c r="L27" s="21">
        <f>SUM(L24:L26)</f>
        <v>12083.38</v>
      </c>
      <c r="M27" s="116">
        <f>SUM(M24:M26)</f>
        <v>8137.0369550000005</v>
      </c>
      <c r="N27" s="180"/>
      <c r="O27" s="155">
        <f>SUM(O24:O26)</f>
        <v>12083.38</v>
      </c>
      <c r="P27" s="21">
        <v>14039.632</v>
      </c>
      <c r="Q27" s="116">
        <f>SUM(Q24:Q26)</f>
        <v>11901.713170000001</v>
      </c>
      <c r="R27" s="185"/>
      <c r="S27" s="171">
        <v>13636.786</v>
      </c>
      <c r="T27" s="138">
        <v>13233.94</v>
      </c>
      <c r="U27" s="192"/>
      <c r="V27" s="171">
        <v>13234</v>
      </c>
      <c r="W27" s="138">
        <v>13233.94</v>
      </c>
      <c r="Y27" s="176">
        <v>12773</v>
      </c>
      <c r="Z27" s="21">
        <v>12773</v>
      </c>
      <c r="AB27" s="22">
        <v>12221</v>
      </c>
      <c r="AC27" s="22">
        <v>12221</v>
      </c>
      <c r="AE27" s="33">
        <v>11773</v>
      </c>
      <c r="AF27" s="33">
        <v>11507.6</v>
      </c>
      <c r="AH27" s="32">
        <v>11507.6</v>
      </c>
      <c r="AI27" s="32">
        <v>11507.6</v>
      </c>
      <c r="AK27" s="50">
        <f t="shared" si="1"/>
        <v>12412.846666666666</v>
      </c>
    </row>
    <row r="28" spans="1:37" ht="15.75" customHeight="1" x14ac:dyDescent="0.25">
      <c r="A28" s="20" t="s">
        <v>117</v>
      </c>
      <c r="B28" s="197"/>
      <c r="C28" s="107"/>
      <c r="D28" s="180"/>
      <c r="E28" s="147"/>
      <c r="F28" s="205"/>
      <c r="G28" s="91"/>
      <c r="H28" s="94"/>
      <c r="I28" s="120"/>
      <c r="J28" s="180"/>
      <c r="K28" s="160"/>
      <c r="L28" s="30"/>
      <c r="M28" s="115"/>
      <c r="N28" s="180"/>
      <c r="O28" s="155"/>
      <c r="P28" s="30"/>
      <c r="Q28" s="115"/>
      <c r="R28" s="184"/>
      <c r="S28" s="170"/>
      <c r="T28" s="137"/>
      <c r="U28" s="190"/>
      <c r="V28" s="170"/>
      <c r="W28" s="137"/>
      <c r="Y28" s="166"/>
      <c r="Z28" s="30"/>
      <c r="AB28" s="31"/>
      <c r="AC28" s="31"/>
      <c r="AE28" s="29"/>
      <c r="AF28" s="29"/>
      <c r="AH28" s="28"/>
      <c r="AI28" s="28"/>
    </row>
    <row r="29" spans="1:37" ht="15.75" customHeight="1" x14ac:dyDescent="0.25">
      <c r="A29" s="26"/>
      <c r="B29" s="140"/>
      <c r="C29" s="107" t="s">
        <v>31</v>
      </c>
      <c r="D29" s="180"/>
      <c r="E29" s="206">
        <v>153.34</v>
      </c>
      <c r="F29" s="204">
        <v>0</v>
      </c>
      <c r="G29" s="99">
        <v>0</v>
      </c>
      <c r="H29" s="93">
        <v>150</v>
      </c>
      <c r="I29" s="121">
        <v>150.09</v>
      </c>
      <c r="J29" s="180"/>
      <c r="K29" s="148">
        <v>150</v>
      </c>
      <c r="L29" s="70">
        <v>150</v>
      </c>
      <c r="M29" s="130">
        <v>146.56</v>
      </c>
      <c r="N29" s="180"/>
      <c r="O29" s="155">
        <v>150</v>
      </c>
      <c r="P29" s="30">
        <v>50</v>
      </c>
      <c r="Q29" s="115">
        <v>146.52000000000001</v>
      </c>
      <c r="R29" s="184"/>
      <c r="S29" s="170">
        <v>150</v>
      </c>
      <c r="T29" s="137">
        <v>130</v>
      </c>
      <c r="U29" s="190"/>
      <c r="V29" s="170">
        <v>300</v>
      </c>
      <c r="W29" s="137">
        <v>143</v>
      </c>
      <c r="Y29" s="166">
        <v>300</v>
      </c>
      <c r="Z29" s="30">
        <v>294.31</v>
      </c>
      <c r="AB29" s="31">
        <v>300</v>
      </c>
      <c r="AC29" s="31">
        <v>325</v>
      </c>
      <c r="AE29" s="28">
        <v>725</v>
      </c>
      <c r="AF29" s="28">
        <v>713.62</v>
      </c>
      <c r="AH29" s="29">
        <v>725</v>
      </c>
      <c r="AI29" s="29">
        <v>720</v>
      </c>
      <c r="AK29" s="50">
        <f t="shared" si="1"/>
        <v>387.65499999999997</v>
      </c>
    </row>
    <row r="30" spans="1:37" ht="15.75" customHeight="1" x14ac:dyDescent="0.25">
      <c r="A30" s="26"/>
      <c r="B30" s="140"/>
      <c r="C30" s="107" t="s">
        <v>32</v>
      </c>
      <c r="D30" s="180"/>
      <c r="E30" s="206">
        <v>0</v>
      </c>
      <c r="F30" s="204">
        <v>0</v>
      </c>
      <c r="G30" s="99">
        <v>0</v>
      </c>
      <c r="H30" s="93">
        <v>150</v>
      </c>
      <c r="I30" s="121">
        <v>124</v>
      </c>
      <c r="J30" s="180"/>
      <c r="K30" s="148">
        <v>150</v>
      </c>
      <c r="L30" s="70">
        <v>150</v>
      </c>
      <c r="M30" s="130"/>
      <c r="N30" s="180"/>
      <c r="O30" s="155">
        <v>150</v>
      </c>
      <c r="P30" s="30">
        <v>150</v>
      </c>
      <c r="Q30" s="115">
        <v>248</v>
      </c>
      <c r="R30" s="184"/>
      <c r="S30" s="170">
        <v>150</v>
      </c>
      <c r="T30" s="137">
        <v>124</v>
      </c>
      <c r="U30" s="190"/>
      <c r="V30" s="170">
        <v>175</v>
      </c>
      <c r="W30" s="137">
        <v>116</v>
      </c>
      <c r="Y30" s="166">
        <v>175</v>
      </c>
      <c r="Z30" s="30">
        <v>315.75</v>
      </c>
      <c r="AB30" s="31">
        <v>150</v>
      </c>
      <c r="AC30" s="31">
        <v>168</v>
      </c>
      <c r="AE30" s="29">
        <v>200</v>
      </c>
      <c r="AF30" s="29">
        <v>70</v>
      </c>
      <c r="AH30" s="28">
        <v>225</v>
      </c>
      <c r="AI30" s="28">
        <v>162</v>
      </c>
      <c r="AK30" s="50">
        <f t="shared" si="1"/>
        <v>159.29166666666666</v>
      </c>
    </row>
    <row r="31" spans="1:37" ht="15.75" customHeight="1" x14ac:dyDescent="0.25">
      <c r="A31" s="26"/>
      <c r="B31" s="140"/>
      <c r="C31" s="107" t="s">
        <v>173</v>
      </c>
      <c r="D31" s="180"/>
      <c r="E31" s="148">
        <f>65+130+130+65+65+100+100+100+100+50+50+100+100+100+100+150+200+200+250</f>
        <v>2155</v>
      </c>
      <c r="F31" s="204">
        <f t="shared" ref="F29:F38" si="4">E31/G31</f>
        <v>0.6375739644970414</v>
      </c>
      <c r="G31" s="93">
        <v>3380</v>
      </c>
      <c r="H31" s="93">
        <v>3380</v>
      </c>
      <c r="I31" s="121">
        <v>2860</v>
      </c>
      <c r="J31" s="180"/>
      <c r="K31" s="148">
        <v>3380</v>
      </c>
      <c r="L31" s="70">
        <v>3380</v>
      </c>
      <c r="M31" s="130">
        <v>2860</v>
      </c>
      <c r="N31" s="180"/>
      <c r="O31" s="155">
        <v>3380</v>
      </c>
      <c r="P31" s="30">
        <v>2600</v>
      </c>
      <c r="Q31" s="115">
        <v>715</v>
      </c>
      <c r="R31" s="184"/>
      <c r="S31" s="170">
        <v>2000</v>
      </c>
      <c r="T31" s="140">
        <v>850</v>
      </c>
      <c r="U31" s="190"/>
      <c r="V31" s="170">
        <v>2600</v>
      </c>
      <c r="W31" s="137">
        <v>2400</v>
      </c>
      <c r="Y31" s="166">
        <v>1900</v>
      </c>
      <c r="Z31" s="30">
        <v>1950</v>
      </c>
      <c r="AB31" s="31">
        <v>1200</v>
      </c>
      <c r="AC31" s="31">
        <v>1400</v>
      </c>
      <c r="AE31" s="33">
        <v>1820</v>
      </c>
      <c r="AF31" s="33">
        <v>1820</v>
      </c>
      <c r="AH31" s="32">
        <v>1820</v>
      </c>
      <c r="AI31" s="32">
        <v>1700</v>
      </c>
      <c r="AK31" s="50">
        <f t="shared" si="1"/>
        <v>1686.6666666666667</v>
      </c>
    </row>
    <row r="32" spans="1:37" ht="15.75" customHeight="1" x14ac:dyDescent="0.25">
      <c r="A32" s="26"/>
      <c r="B32" s="140"/>
      <c r="C32" s="107" t="s">
        <v>86</v>
      </c>
      <c r="D32" s="180"/>
      <c r="E32" s="148" t="s">
        <v>161</v>
      </c>
      <c r="F32" s="204">
        <v>0</v>
      </c>
      <c r="G32" s="99">
        <v>0</v>
      </c>
      <c r="H32" s="70"/>
      <c r="I32" s="126"/>
      <c r="J32" s="180"/>
      <c r="K32" s="147"/>
      <c r="L32" s="70"/>
      <c r="M32" s="130"/>
      <c r="N32" s="180"/>
      <c r="O32" s="155"/>
      <c r="P32" s="30">
        <v>198.9</v>
      </c>
      <c r="Q32" s="115"/>
      <c r="R32" s="184"/>
      <c r="S32" s="169">
        <v>0</v>
      </c>
      <c r="T32" s="140">
        <v>0</v>
      </c>
      <c r="U32" s="190"/>
      <c r="V32" s="169">
        <v>0</v>
      </c>
      <c r="W32" s="137"/>
      <c r="Y32" s="166"/>
      <c r="Z32" s="30"/>
      <c r="AB32" s="31"/>
      <c r="AC32" s="31"/>
      <c r="AE32" s="33"/>
      <c r="AF32" s="33"/>
      <c r="AH32" s="32"/>
      <c r="AI32" s="32"/>
      <c r="AK32" s="50">
        <f t="shared" si="1"/>
        <v>0</v>
      </c>
    </row>
    <row r="33" spans="1:37" ht="15.75" customHeight="1" x14ac:dyDescent="0.25">
      <c r="A33" s="26"/>
      <c r="B33" s="140"/>
      <c r="C33" s="107" t="s">
        <v>33</v>
      </c>
      <c r="D33" s="180"/>
      <c r="E33" s="207" t="s">
        <v>161</v>
      </c>
      <c r="F33" s="204">
        <v>0</v>
      </c>
      <c r="G33" s="99">
        <v>0</v>
      </c>
      <c r="H33" s="93">
        <v>400</v>
      </c>
      <c r="I33" s="121">
        <v>279.26</v>
      </c>
      <c r="J33" s="180"/>
      <c r="K33" s="148">
        <v>400</v>
      </c>
      <c r="L33" s="70">
        <v>400</v>
      </c>
      <c r="M33" s="130">
        <v>263.97000000000003</v>
      </c>
      <c r="N33" s="180"/>
      <c r="O33" s="155">
        <v>400</v>
      </c>
      <c r="P33" s="30">
        <v>400</v>
      </c>
      <c r="Q33" s="115">
        <v>360.53</v>
      </c>
      <c r="R33" s="184"/>
      <c r="S33" s="170">
        <v>400</v>
      </c>
      <c r="T33" s="137">
        <v>52</v>
      </c>
      <c r="U33" s="190"/>
      <c r="V33" s="170">
        <v>400</v>
      </c>
      <c r="W33" s="137">
        <v>335</v>
      </c>
      <c r="Y33" s="166">
        <v>800</v>
      </c>
      <c r="Z33" s="30">
        <v>655.56</v>
      </c>
      <c r="AB33" s="31">
        <v>800</v>
      </c>
      <c r="AC33" s="31">
        <v>657</v>
      </c>
      <c r="AE33" s="32">
        <v>1000</v>
      </c>
      <c r="AF33" s="29">
        <v>477.95</v>
      </c>
      <c r="AH33" s="33">
        <v>1100</v>
      </c>
      <c r="AI33" s="28">
        <v>964</v>
      </c>
      <c r="AK33" s="50">
        <f t="shared" si="1"/>
        <v>523.58499999999992</v>
      </c>
    </row>
    <row r="34" spans="1:37" ht="15.75" customHeight="1" x14ac:dyDescent="0.25">
      <c r="A34" s="26"/>
      <c r="B34" s="140"/>
      <c r="C34" s="107" t="s">
        <v>34</v>
      </c>
      <c r="D34" s="180"/>
      <c r="E34" s="207">
        <f>18.62*8</f>
        <v>148.96</v>
      </c>
      <c r="F34" s="204">
        <f t="shared" si="4"/>
        <v>0.74480000000000002</v>
      </c>
      <c r="G34" s="99">
        <v>200</v>
      </c>
      <c r="H34" s="93">
        <v>800</v>
      </c>
      <c r="I34" s="121">
        <v>130.34</v>
      </c>
      <c r="J34" s="180"/>
      <c r="K34" s="148">
        <v>800</v>
      </c>
      <c r="L34" s="70">
        <v>800</v>
      </c>
      <c r="M34" s="130">
        <v>480.01</v>
      </c>
      <c r="N34" s="180"/>
      <c r="O34" s="155">
        <v>800</v>
      </c>
      <c r="P34" s="30">
        <v>800</v>
      </c>
      <c r="Q34" s="115">
        <v>675.1</v>
      </c>
      <c r="R34" s="184"/>
      <c r="S34" s="170">
        <v>800</v>
      </c>
      <c r="T34" s="137">
        <v>752</v>
      </c>
      <c r="U34" s="190"/>
      <c r="V34" s="170">
        <v>800</v>
      </c>
      <c r="W34" s="137">
        <v>848</v>
      </c>
      <c r="Y34" s="166">
        <v>1200</v>
      </c>
      <c r="Z34" s="30">
        <v>774.33</v>
      </c>
      <c r="AB34" s="31">
        <v>1700</v>
      </c>
      <c r="AC34" s="31">
        <v>1640</v>
      </c>
      <c r="AE34" s="33">
        <v>1500</v>
      </c>
      <c r="AF34" s="33">
        <v>1782.11</v>
      </c>
      <c r="AH34" s="32">
        <v>1500</v>
      </c>
      <c r="AI34" s="32">
        <v>1637</v>
      </c>
      <c r="AK34" s="50">
        <f t="shared" si="1"/>
        <v>1238.9066666666665</v>
      </c>
    </row>
    <row r="35" spans="1:37" ht="15.75" customHeight="1" x14ac:dyDescent="0.25">
      <c r="A35" s="26" t="s">
        <v>137</v>
      </c>
      <c r="B35" s="140"/>
      <c r="C35" s="107" t="s">
        <v>35</v>
      </c>
      <c r="D35" s="180"/>
      <c r="E35" s="207">
        <v>0</v>
      </c>
      <c r="F35" s="204">
        <v>0</v>
      </c>
      <c r="G35" s="99">
        <v>0</v>
      </c>
      <c r="H35" s="93">
        <v>0</v>
      </c>
      <c r="I35" s="121">
        <v>0</v>
      </c>
      <c r="J35" s="180"/>
      <c r="K35" s="148">
        <v>0</v>
      </c>
      <c r="L35" s="70">
        <v>0</v>
      </c>
      <c r="M35" s="130"/>
      <c r="N35" s="180"/>
      <c r="O35" s="155">
        <v>0</v>
      </c>
      <c r="P35" s="30">
        <v>0</v>
      </c>
      <c r="Q35" s="115">
        <v>140</v>
      </c>
      <c r="R35" s="184"/>
      <c r="S35" s="170">
        <v>520</v>
      </c>
      <c r="T35" s="137">
        <v>280</v>
      </c>
      <c r="U35" s="190"/>
      <c r="V35" s="170">
        <v>720</v>
      </c>
      <c r="W35" s="137">
        <v>555</v>
      </c>
      <c r="Y35" s="166">
        <v>60</v>
      </c>
      <c r="Z35" s="30">
        <v>720</v>
      </c>
      <c r="AB35" s="31"/>
      <c r="AC35" s="31"/>
      <c r="AE35" s="33"/>
      <c r="AF35" s="33"/>
      <c r="AH35" s="32"/>
      <c r="AI35" s="32"/>
      <c r="AK35" s="50">
        <f t="shared" si="1"/>
        <v>259.16666666666669</v>
      </c>
    </row>
    <row r="36" spans="1:37" ht="15.75" customHeight="1" x14ac:dyDescent="0.25">
      <c r="A36" s="26"/>
      <c r="B36" s="140"/>
      <c r="C36" s="107" t="s">
        <v>36</v>
      </c>
      <c r="D36" s="180"/>
      <c r="E36" s="207"/>
      <c r="F36" s="204">
        <f t="shared" si="4"/>
        <v>0</v>
      </c>
      <c r="G36" s="99">
        <v>150</v>
      </c>
      <c r="H36" s="93">
        <v>450</v>
      </c>
      <c r="I36" s="121">
        <v>0</v>
      </c>
      <c r="J36" s="180"/>
      <c r="K36" s="148">
        <v>450</v>
      </c>
      <c r="L36" s="71">
        <v>450</v>
      </c>
      <c r="M36" s="130">
        <v>359.8</v>
      </c>
      <c r="N36" s="180"/>
      <c r="O36" s="166">
        <v>450</v>
      </c>
      <c r="P36" s="30">
        <v>450</v>
      </c>
      <c r="Q36" s="115">
        <v>2622.33</v>
      </c>
      <c r="R36" s="184"/>
      <c r="S36" s="170">
        <v>450</v>
      </c>
      <c r="T36" s="137">
        <v>1242</v>
      </c>
      <c r="U36" s="190"/>
      <c r="V36" s="170">
        <v>440</v>
      </c>
      <c r="W36" s="137">
        <v>256</v>
      </c>
      <c r="Y36" s="166">
        <v>440</v>
      </c>
      <c r="Z36" s="30">
        <v>512.32000000000005</v>
      </c>
      <c r="AB36" s="31">
        <v>330</v>
      </c>
      <c r="AC36" s="31">
        <v>220</v>
      </c>
      <c r="AE36" s="29">
        <v>330</v>
      </c>
      <c r="AF36" s="29">
        <v>330</v>
      </c>
      <c r="AH36" s="28">
        <v>300</v>
      </c>
      <c r="AI36" s="28">
        <v>330</v>
      </c>
      <c r="AK36" s="50">
        <f t="shared" si="1"/>
        <v>481.72</v>
      </c>
    </row>
    <row r="37" spans="1:37" ht="15.75" customHeight="1" x14ac:dyDescent="0.25">
      <c r="A37" s="26"/>
      <c r="B37" s="140"/>
      <c r="C37" s="107" t="s">
        <v>37</v>
      </c>
      <c r="D37" s="180"/>
      <c r="E37" s="207">
        <f>7.85+404.63-204.04+172.21+240+106.79+360+219.85</f>
        <v>1307.29</v>
      </c>
      <c r="F37" s="204">
        <f t="shared" si="4"/>
        <v>1.3072900000000001</v>
      </c>
      <c r="G37" s="99">
        <v>1000</v>
      </c>
      <c r="H37" s="98">
        <v>1200</v>
      </c>
      <c r="I37" s="122">
        <v>1362.19</v>
      </c>
      <c r="J37" s="180"/>
      <c r="K37" s="149">
        <v>1200</v>
      </c>
      <c r="L37" s="72">
        <v>1600</v>
      </c>
      <c r="M37" s="132">
        <v>782.17</v>
      </c>
      <c r="N37" s="180"/>
      <c r="O37" s="155">
        <v>1600</v>
      </c>
      <c r="P37" s="34">
        <v>1800</v>
      </c>
      <c r="Q37" s="131">
        <f>910.29+482</f>
        <v>1392.29</v>
      </c>
      <c r="R37" s="186"/>
      <c r="S37" s="172">
        <v>1800</v>
      </c>
      <c r="T37" s="139">
        <v>1588</v>
      </c>
      <c r="U37" s="190"/>
      <c r="V37" s="172">
        <v>2000</v>
      </c>
      <c r="W37" s="139">
        <v>1865</v>
      </c>
      <c r="Y37" s="177">
        <v>2000</v>
      </c>
      <c r="Z37" s="34">
        <v>2492.5300000000002</v>
      </c>
      <c r="AB37" s="35">
        <v>2000</v>
      </c>
      <c r="AC37" s="35">
        <v>1841</v>
      </c>
      <c r="AE37" s="33">
        <v>2000</v>
      </c>
      <c r="AF37" s="33">
        <v>2023.32</v>
      </c>
      <c r="AH37" s="32">
        <v>2250</v>
      </c>
      <c r="AI37" s="32">
        <v>1900</v>
      </c>
      <c r="AK37" s="50">
        <f t="shared" si="1"/>
        <v>1951.6416666666667</v>
      </c>
    </row>
    <row r="38" spans="1:37" ht="15.75" customHeight="1" x14ac:dyDescent="0.25">
      <c r="A38" s="26"/>
      <c r="B38" s="140"/>
      <c r="C38" s="107" t="s">
        <v>38</v>
      </c>
      <c r="D38" s="180"/>
      <c r="E38" s="146">
        <f>SUM(E29:E37)</f>
        <v>3764.59</v>
      </c>
      <c r="F38" s="204">
        <f t="shared" si="4"/>
        <v>0.79589640591966171</v>
      </c>
      <c r="G38" s="102">
        <f>SUM(G29:G37)</f>
        <v>4730</v>
      </c>
      <c r="H38" s="92">
        <f>SUM(H29:H37)</f>
        <v>6530</v>
      </c>
      <c r="I38" s="123">
        <f>SUM(I29:I37)</f>
        <v>4905.880000000001</v>
      </c>
      <c r="J38" s="180"/>
      <c r="K38" s="150">
        <f>SUM(K29:K37)</f>
        <v>6530</v>
      </c>
      <c r="L38" s="21">
        <f>SUM(L29:L37)</f>
        <v>6930</v>
      </c>
      <c r="M38" s="116">
        <f>SUM(M29:M37)</f>
        <v>4892.51</v>
      </c>
      <c r="N38" s="180"/>
      <c r="O38" s="155">
        <f>SUM(O29:O37)</f>
        <v>6930</v>
      </c>
      <c r="P38" s="21">
        <v>6448.9</v>
      </c>
      <c r="Q38" s="116">
        <f>SUM(Q29:Q37)</f>
        <v>6299.7699999999995</v>
      </c>
      <c r="R38" s="185"/>
      <c r="S38" s="171">
        <v>6270</v>
      </c>
      <c r="T38" s="138">
        <v>5018</v>
      </c>
      <c r="U38" s="190"/>
      <c r="V38" s="171">
        <v>7435</v>
      </c>
      <c r="W38" s="138">
        <v>6518</v>
      </c>
      <c r="Y38" s="176">
        <v>6875</v>
      </c>
      <c r="Z38" s="21">
        <v>7714.7999999999993</v>
      </c>
      <c r="AB38" s="22">
        <v>6480</v>
      </c>
      <c r="AC38" s="22">
        <v>6251</v>
      </c>
      <c r="AE38" s="32">
        <v>7575</v>
      </c>
      <c r="AF38" s="32">
        <v>7217</v>
      </c>
      <c r="AH38" s="33">
        <v>7920</v>
      </c>
      <c r="AI38" s="33">
        <v>7413</v>
      </c>
      <c r="AK38" s="50">
        <f t="shared" si="1"/>
        <v>6688.6333333333341</v>
      </c>
    </row>
    <row r="39" spans="1:37" ht="15.75" customHeight="1" x14ac:dyDescent="0.25">
      <c r="A39" s="20" t="s">
        <v>151</v>
      </c>
      <c r="B39" s="197"/>
      <c r="C39" s="107"/>
      <c r="D39" s="180"/>
      <c r="E39" s="147"/>
      <c r="F39" s="205"/>
      <c r="G39" s="91"/>
      <c r="H39" s="94"/>
      <c r="I39" s="120"/>
      <c r="J39" s="180"/>
      <c r="K39" s="160"/>
      <c r="L39" s="30"/>
      <c r="M39" s="115"/>
      <c r="N39" s="180"/>
      <c r="O39" s="155"/>
      <c r="P39" s="30"/>
      <c r="Q39" s="115"/>
      <c r="R39" s="184"/>
      <c r="S39" s="170"/>
      <c r="T39" s="137"/>
      <c r="U39" s="190"/>
      <c r="V39" s="170"/>
      <c r="W39" s="137"/>
      <c r="Y39" s="178"/>
      <c r="Z39" s="30"/>
      <c r="AB39" s="37"/>
      <c r="AC39" s="31"/>
      <c r="AE39" s="28"/>
      <c r="AF39" s="28"/>
      <c r="AH39" s="29"/>
      <c r="AI39" s="29"/>
    </row>
    <row r="40" spans="1:37" ht="15.75" customHeight="1" x14ac:dyDescent="0.25">
      <c r="A40" s="26"/>
      <c r="B40" s="140"/>
      <c r="C40" s="107" t="s">
        <v>87</v>
      </c>
      <c r="D40" s="180"/>
      <c r="E40" s="207" t="s">
        <v>161</v>
      </c>
      <c r="F40" s="204"/>
      <c r="G40" s="126" t="s">
        <v>152</v>
      </c>
      <c r="H40" s="70"/>
      <c r="I40" s="126" t="s">
        <v>152</v>
      </c>
      <c r="J40" s="180"/>
      <c r="K40" s="147"/>
      <c r="L40" s="70">
        <v>0</v>
      </c>
      <c r="M40" s="130"/>
      <c r="N40" s="180"/>
      <c r="O40" s="155">
        <v>0</v>
      </c>
      <c r="P40" s="30">
        <v>2500</v>
      </c>
      <c r="Q40" s="115">
        <v>493.6</v>
      </c>
      <c r="R40" s="184"/>
      <c r="S40" s="170">
        <v>3250</v>
      </c>
      <c r="T40" s="137">
        <v>1444</v>
      </c>
      <c r="U40" s="190"/>
      <c r="V40" s="170">
        <v>5250</v>
      </c>
      <c r="W40" s="137">
        <v>5320</v>
      </c>
      <c r="Y40" s="166">
        <v>4800</v>
      </c>
      <c r="Z40" s="30">
        <v>4563.05</v>
      </c>
      <c r="AB40" s="31">
        <v>6800</v>
      </c>
      <c r="AC40" s="31">
        <v>4200</v>
      </c>
      <c r="AE40" s="32">
        <v>6000</v>
      </c>
      <c r="AF40" s="32">
        <v>3627.94</v>
      </c>
      <c r="AH40" s="33">
        <v>6000</v>
      </c>
      <c r="AI40" s="33">
        <v>3465</v>
      </c>
      <c r="AK40" s="50">
        <f t="shared" si="1"/>
        <v>3769.998333333333</v>
      </c>
    </row>
    <row r="41" spans="1:37" ht="15.75" customHeight="1" x14ac:dyDescent="0.25">
      <c r="A41" s="26"/>
      <c r="B41" s="140"/>
      <c r="C41" s="107" t="s">
        <v>88</v>
      </c>
      <c r="D41" s="180"/>
      <c r="E41" s="148">
        <f>2520.33+203.43</f>
        <v>2723.7599999999998</v>
      </c>
      <c r="F41" s="204"/>
      <c r="G41" s="200" t="s">
        <v>163</v>
      </c>
      <c r="H41" s="93">
        <v>3500</v>
      </c>
      <c r="I41" s="121">
        <v>2835.82</v>
      </c>
      <c r="J41" s="180"/>
      <c r="K41" s="148">
        <v>3500</v>
      </c>
      <c r="L41" s="70">
        <v>3500</v>
      </c>
      <c r="M41" s="130">
        <v>3017.84</v>
      </c>
      <c r="N41" s="180"/>
      <c r="O41" s="155">
        <v>3500</v>
      </c>
      <c r="P41" s="30">
        <v>3500</v>
      </c>
      <c r="Q41" s="115">
        <v>3142.71</v>
      </c>
      <c r="R41" s="184"/>
      <c r="S41" s="170">
        <v>3500</v>
      </c>
      <c r="T41" s="137">
        <v>3139</v>
      </c>
      <c r="U41" s="190"/>
      <c r="V41" s="170">
        <v>3500</v>
      </c>
      <c r="W41" s="137">
        <v>3037</v>
      </c>
      <c r="Y41" s="166">
        <v>3500</v>
      </c>
      <c r="Z41" s="30">
        <v>3373.55</v>
      </c>
      <c r="AB41" s="31">
        <v>3500</v>
      </c>
      <c r="AC41" s="31">
        <v>3440</v>
      </c>
      <c r="AE41" s="33">
        <v>3900</v>
      </c>
      <c r="AF41" s="33">
        <v>3198.93</v>
      </c>
      <c r="AH41" s="32">
        <v>2800</v>
      </c>
      <c r="AI41" s="32">
        <v>3201</v>
      </c>
      <c r="AK41" s="50">
        <f t="shared" si="1"/>
        <v>3231.58</v>
      </c>
    </row>
    <row r="42" spans="1:37" ht="15.75" customHeight="1" x14ac:dyDescent="0.25">
      <c r="A42" s="26"/>
      <c r="B42" s="140"/>
      <c r="C42" s="107" t="s">
        <v>39</v>
      </c>
      <c r="D42" s="180"/>
      <c r="E42" s="148">
        <v>138.84</v>
      </c>
      <c r="F42" s="204"/>
      <c r="G42" s="200" t="s">
        <v>163</v>
      </c>
      <c r="H42" s="93">
        <v>250</v>
      </c>
      <c r="I42" s="121">
        <v>511.37</v>
      </c>
      <c r="J42" s="180"/>
      <c r="K42" s="148">
        <v>250</v>
      </c>
      <c r="L42" s="70">
        <v>250</v>
      </c>
      <c r="M42" s="130">
        <v>164.24</v>
      </c>
      <c r="N42" s="180"/>
      <c r="O42" s="155">
        <v>250</v>
      </c>
      <c r="P42" s="30">
        <v>250</v>
      </c>
      <c r="Q42" s="115"/>
      <c r="R42" s="184"/>
      <c r="S42" s="170">
        <v>250</v>
      </c>
      <c r="T42" s="137">
        <v>90</v>
      </c>
      <c r="U42" s="190"/>
      <c r="V42" s="170">
        <v>250</v>
      </c>
      <c r="W42" s="137">
        <v>334</v>
      </c>
      <c r="Y42" s="166">
        <v>250</v>
      </c>
      <c r="Z42" s="30">
        <v>143.97999999999999</v>
      </c>
      <c r="AB42" s="31">
        <v>250</v>
      </c>
      <c r="AC42" s="31">
        <v>195</v>
      </c>
      <c r="AE42" s="33"/>
      <c r="AF42" s="33"/>
      <c r="AH42" s="32"/>
      <c r="AI42" s="32"/>
      <c r="AK42" s="50">
        <f t="shared" si="1"/>
        <v>127.16333333333334</v>
      </c>
    </row>
    <row r="43" spans="1:37" ht="15.75" customHeight="1" x14ac:dyDescent="0.25">
      <c r="A43" s="26"/>
      <c r="B43" s="140"/>
      <c r="C43" s="107" t="s">
        <v>89</v>
      </c>
      <c r="D43" s="180"/>
      <c r="E43" s="148">
        <f>758.5+1219.46+393.82+5150</f>
        <v>7521.7800000000007</v>
      </c>
      <c r="F43" s="204"/>
      <c r="G43" s="200" t="s">
        <v>163</v>
      </c>
      <c r="H43" s="93">
        <v>350</v>
      </c>
      <c r="I43" s="121">
        <v>79.52</v>
      </c>
      <c r="J43" s="180"/>
      <c r="K43" s="148">
        <v>350</v>
      </c>
      <c r="L43" s="70">
        <v>350</v>
      </c>
      <c r="M43" s="130"/>
      <c r="N43" s="180"/>
      <c r="O43" s="155">
        <v>350</v>
      </c>
      <c r="P43" s="30">
        <v>350</v>
      </c>
      <c r="Q43" s="115">
        <f>265.89+75</f>
        <v>340.89</v>
      </c>
      <c r="R43" s="184"/>
      <c r="S43" s="170">
        <v>350</v>
      </c>
      <c r="T43" s="137">
        <v>49</v>
      </c>
      <c r="U43" s="190"/>
      <c r="V43" s="170">
        <v>0</v>
      </c>
      <c r="W43" s="137">
        <v>345</v>
      </c>
      <c r="Y43" s="166">
        <v>250</v>
      </c>
      <c r="Z43" s="30">
        <v>0</v>
      </c>
      <c r="AB43" s="31">
        <v>750</v>
      </c>
      <c r="AC43" s="31">
        <v>143</v>
      </c>
      <c r="AE43" s="33"/>
      <c r="AF43" s="33"/>
      <c r="AH43" s="32"/>
      <c r="AI43" s="32"/>
      <c r="AK43" s="50">
        <f t="shared" si="1"/>
        <v>89.5</v>
      </c>
    </row>
    <row r="44" spans="1:37" ht="15.75" customHeight="1" x14ac:dyDescent="0.25">
      <c r="A44" s="26"/>
      <c r="B44" s="140"/>
      <c r="C44" s="107" t="s">
        <v>40</v>
      </c>
      <c r="D44" s="180"/>
      <c r="E44" s="207">
        <v>0</v>
      </c>
      <c r="F44" s="204"/>
      <c r="G44" s="200" t="s">
        <v>163</v>
      </c>
      <c r="H44" s="93">
        <v>300</v>
      </c>
      <c r="I44" s="121">
        <v>0</v>
      </c>
      <c r="J44" s="180"/>
      <c r="K44" s="148">
        <v>300</v>
      </c>
      <c r="L44" s="70">
        <v>300</v>
      </c>
      <c r="M44" s="130"/>
      <c r="N44" s="180"/>
      <c r="O44" s="155">
        <v>300</v>
      </c>
      <c r="P44" s="30">
        <v>600</v>
      </c>
      <c r="Q44" s="115"/>
      <c r="R44" s="184"/>
      <c r="S44" s="170">
        <v>600</v>
      </c>
      <c r="T44" s="137">
        <v>0</v>
      </c>
      <c r="U44" s="190"/>
      <c r="V44" s="170">
        <v>600</v>
      </c>
      <c r="W44" s="137">
        <v>0</v>
      </c>
      <c r="Y44" s="166">
        <v>600</v>
      </c>
      <c r="Z44" s="30">
        <v>2419.56</v>
      </c>
      <c r="AB44" s="31">
        <v>600</v>
      </c>
      <c r="AC44" s="31">
        <v>550</v>
      </c>
      <c r="AE44" s="33"/>
      <c r="AF44" s="33"/>
      <c r="AH44" s="32"/>
      <c r="AI44" s="32"/>
      <c r="AK44" s="50">
        <f t="shared" si="1"/>
        <v>494.92666666666668</v>
      </c>
    </row>
    <row r="45" spans="1:37" ht="15.75" customHeight="1" x14ac:dyDescent="0.25">
      <c r="A45" s="26"/>
      <c r="B45" s="140"/>
      <c r="C45" s="107" t="s">
        <v>90</v>
      </c>
      <c r="D45" s="180"/>
      <c r="E45" s="148">
        <f>483.04+985.48+605.47+8.91+465.72+228.57+300.7</f>
        <v>3077.89</v>
      </c>
      <c r="F45" s="204"/>
      <c r="G45" s="200" t="s">
        <v>163</v>
      </c>
      <c r="H45" s="93">
        <v>3600</v>
      </c>
      <c r="I45" s="121">
        <v>2874.26</v>
      </c>
      <c r="J45" s="180"/>
      <c r="K45" s="148">
        <v>3600</v>
      </c>
      <c r="L45" s="70">
        <v>3600</v>
      </c>
      <c r="M45" s="130">
        <v>2551.0500000000002</v>
      </c>
      <c r="N45" s="180"/>
      <c r="O45" s="155">
        <v>3600</v>
      </c>
      <c r="P45" s="30">
        <v>1800</v>
      </c>
      <c r="Q45" s="115">
        <v>1232.68</v>
      </c>
      <c r="R45" s="184"/>
      <c r="S45" s="170">
        <v>1575</v>
      </c>
      <c r="T45" s="137">
        <v>1485</v>
      </c>
      <c r="U45" s="190"/>
      <c r="V45" s="170">
        <v>650</v>
      </c>
      <c r="W45" s="137">
        <v>313</v>
      </c>
      <c r="Y45" s="166">
        <v>625</v>
      </c>
      <c r="Z45" s="30">
        <v>452.42</v>
      </c>
      <c r="AB45" s="31">
        <v>757</v>
      </c>
      <c r="AC45" s="31">
        <v>520</v>
      </c>
      <c r="AE45" s="33"/>
      <c r="AF45" s="33"/>
      <c r="AH45" s="32"/>
      <c r="AI45" s="32"/>
      <c r="AK45" s="50">
        <f t="shared" si="1"/>
        <v>461.73666666666668</v>
      </c>
    </row>
    <row r="46" spans="1:37" ht="15.75" customHeight="1" x14ac:dyDescent="0.25">
      <c r="A46" s="26"/>
      <c r="B46" s="140"/>
      <c r="C46" s="107" t="s">
        <v>41</v>
      </c>
      <c r="D46" s="180"/>
      <c r="E46" s="207">
        <v>500</v>
      </c>
      <c r="F46" s="204">
        <f t="shared" ref="F40:F49" si="5">E46/G46</f>
        <v>1</v>
      </c>
      <c r="G46" s="99">
        <v>500</v>
      </c>
      <c r="H46" s="93">
        <v>600</v>
      </c>
      <c r="I46" s="121">
        <v>1000</v>
      </c>
      <c r="J46" s="180"/>
      <c r="K46" s="148">
        <v>600</v>
      </c>
      <c r="L46" s="70">
        <v>600</v>
      </c>
      <c r="M46" s="130">
        <v>825</v>
      </c>
      <c r="N46" s="180"/>
      <c r="O46" s="155">
        <v>600</v>
      </c>
      <c r="P46" s="30">
        <v>600</v>
      </c>
      <c r="Q46" s="115">
        <v>150</v>
      </c>
      <c r="R46" s="184"/>
      <c r="S46" s="170">
        <v>100</v>
      </c>
      <c r="T46" s="137">
        <v>100</v>
      </c>
      <c r="U46" s="190"/>
      <c r="V46" s="170">
        <v>750</v>
      </c>
      <c r="W46" s="137">
        <v>800</v>
      </c>
      <c r="Y46" s="166">
        <v>1250</v>
      </c>
      <c r="Z46" s="30">
        <v>500</v>
      </c>
      <c r="AB46" s="31">
        <v>1000</v>
      </c>
      <c r="AC46" s="31">
        <v>100</v>
      </c>
      <c r="AE46" s="32">
        <v>1000</v>
      </c>
      <c r="AF46" s="29">
        <v>0</v>
      </c>
      <c r="AH46" s="33">
        <v>1000</v>
      </c>
      <c r="AI46" s="28">
        <v>100</v>
      </c>
      <c r="AK46" s="50">
        <f t="shared" si="1"/>
        <v>266.66666666666669</v>
      </c>
    </row>
    <row r="47" spans="1:37" ht="15.75" customHeight="1" x14ac:dyDescent="0.25">
      <c r="A47" s="26"/>
      <c r="B47" s="140"/>
      <c r="C47" s="107" t="s">
        <v>105</v>
      </c>
      <c r="D47" s="180"/>
      <c r="E47" s="148">
        <v>0</v>
      </c>
      <c r="F47" s="204" t="e">
        <f t="shared" si="5"/>
        <v>#VALUE!</v>
      </c>
      <c r="G47" s="91" t="s">
        <v>161</v>
      </c>
      <c r="H47" s="94" t="s">
        <v>152</v>
      </c>
      <c r="I47" s="120" t="s">
        <v>152</v>
      </c>
      <c r="J47" s="180"/>
      <c r="K47" s="160" t="s">
        <v>152</v>
      </c>
      <c r="L47" s="70"/>
      <c r="M47" s="115"/>
      <c r="N47" s="180"/>
      <c r="O47" s="155"/>
      <c r="P47" s="30"/>
      <c r="Q47" s="115"/>
      <c r="R47" s="184"/>
      <c r="S47" s="170"/>
      <c r="T47" s="137"/>
      <c r="U47" s="190"/>
      <c r="V47" s="170"/>
      <c r="W47" s="137"/>
      <c r="Y47" s="166">
        <v>100</v>
      </c>
      <c r="Z47" s="30">
        <v>0</v>
      </c>
      <c r="AB47" s="31">
        <v>200</v>
      </c>
      <c r="AC47" s="31">
        <v>57</v>
      </c>
      <c r="AE47" s="32"/>
      <c r="AF47" s="29"/>
      <c r="AH47" s="33"/>
      <c r="AI47" s="28"/>
      <c r="AK47" s="50">
        <f t="shared" si="1"/>
        <v>9.5</v>
      </c>
    </row>
    <row r="48" spans="1:37" ht="15.75" customHeight="1" x14ac:dyDescent="0.25">
      <c r="A48" s="26"/>
      <c r="B48" s="140"/>
      <c r="C48" s="109" t="s">
        <v>91</v>
      </c>
      <c r="D48" s="180"/>
      <c r="E48" s="207">
        <f>25+25+25+25+25+25</f>
        <v>150</v>
      </c>
      <c r="F48" s="204">
        <f t="shared" si="5"/>
        <v>0.7142857142857143</v>
      </c>
      <c r="G48" s="99">
        <v>210</v>
      </c>
      <c r="H48" s="93">
        <v>420</v>
      </c>
      <c r="I48" s="121">
        <v>50</v>
      </c>
      <c r="J48" s="180"/>
      <c r="K48" s="148">
        <v>420</v>
      </c>
      <c r="L48" s="70">
        <v>420</v>
      </c>
      <c r="M48" s="115"/>
      <c r="N48" s="180"/>
      <c r="O48" s="155">
        <v>420</v>
      </c>
      <c r="P48" s="30">
        <v>420</v>
      </c>
      <c r="Q48" s="115"/>
      <c r="R48" s="184"/>
      <c r="S48" s="170">
        <v>250</v>
      </c>
      <c r="T48" s="137">
        <v>0</v>
      </c>
      <c r="U48" s="190"/>
      <c r="V48" s="170">
        <v>250</v>
      </c>
      <c r="W48" s="137">
        <v>0</v>
      </c>
      <c r="Y48" s="166">
        <v>250</v>
      </c>
      <c r="Z48" s="30">
        <v>140</v>
      </c>
      <c r="AB48" s="31">
        <v>450</v>
      </c>
      <c r="AC48" s="31">
        <v>245</v>
      </c>
      <c r="AE48" s="28">
        <v>450</v>
      </c>
      <c r="AF48" s="28">
        <v>245</v>
      </c>
      <c r="AH48" s="29">
        <v>550</v>
      </c>
      <c r="AI48" s="29">
        <v>238</v>
      </c>
      <c r="AK48" s="50">
        <f t="shared" si="1"/>
        <v>144.66666666666666</v>
      </c>
    </row>
    <row r="49" spans="1:37" ht="15.75" customHeight="1" x14ac:dyDescent="0.25">
      <c r="A49" s="26"/>
      <c r="B49" s="140"/>
      <c r="C49" s="107" t="s">
        <v>92</v>
      </c>
      <c r="D49" s="180"/>
      <c r="E49" s="149">
        <f>1303.88+120.8</f>
        <v>1424.68</v>
      </c>
      <c r="F49" s="204">
        <f t="shared" si="5"/>
        <v>1.0793030303030304</v>
      </c>
      <c r="G49" s="98">
        <v>1320</v>
      </c>
      <c r="H49" s="98">
        <v>1320</v>
      </c>
      <c r="I49" s="122">
        <v>1256.99</v>
      </c>
      <c r="J49" s="180"/>
      <c r="K49" s="149">
        <v>1320</v>
      </c>
      <c r="L49" s="34">
        <v>1320</v>
      </c>
      <c r="M49" s="132">
        <v>1220.83</v>
      </c>
      <c r="N49" s="180"/>
      <c r="O49" s="155">
        <v>1320</v>
      </c>
      <c r="P49" s="34">
        <v>1320</v>
      </c>
      <c r="Q49" s="131">
        <v>1357.85</v>
      </c>
      <c r="R49" s="186"/>
      <c r="S49" s="172">
        <v>1450</v>
      </c>
      <c r="T49" s="139">
        <v>1285</v>
      </c>
      <c r="U49" s="190"/>
      <c r="V49" s="172">
        <v>1320</v>
      </c>
      <c r="W49" s="139">
        <v>1430</v>
      </c>
      <c r="Y49" s="177">
        <v>1250</v>
      </c>
      <c r="Z49" s="34">
        <v>1450</v>
      </c>
      <c r="AB49" s="35">
        <v>1250</v>
      </c>
      <c r="AC49" s="35">
        <v>1235</v>
      </c>
      <c r="AE49" s="32">
        <v>1000</v>
      </c>
      <c r="AF49" s="32">
        <v>1127.3399999999999</v>
      </c>
      <c r="AH49" s="33">
        <v>1100</v>
      </c>
      <c r="AI49" s="28">
        <v>890</v>
      </c>
      <c r="AK49" s="50">
        <f t="shared" si="1"/>
        <v>1236.2233333333334</v>
      </c>
    </row>
    <row r="50" spans="1:37" ht="15.75" customHeight="1" x14ac:dyDescent="0.25">
      <c r="A50" s="26"/>
      <c r="B50" s="140"/>
      <c r="C50" s="107" t="s">
        <v>42</v>
      </c>
      <c r="D50" s="180"/>
      <c r="E50" s="146">
        <f>SUM(E41:E49)</f>
        <v>15536.95</v>
      </c>
      <c r="F50" s="204">
        <f>E50/G50</f>
        <v>7.6536699507389168</v>
      </c>
      <c r="G50" s="97">
        <f>SUM(G41:G49)</f>
        <v>2030</v>
      </c>
      <c r="H50" s="97">
        <f>SUM(H41:H49)</f>
        <v>10340</v>
      </c>
      <c r="I50" s="123">
        <f>SUM(I41:I49)</f>
        <v>8607.9600000000009</v>
      </c>
      <c r="J50" s="180"/>
      <c r="K50" s="159">
        <f>SUM(K41:K49)</f>
        <v>10340</v>
      </c>
      <c r="L50" s="21">
        <f>SUM(L40:L49)</f>
        <v>10340</v>
      </c>
      <c r="M50" s="116">
        <f>SUM(M40:M49)</f>
        <v>7778.96</v>
      </c>
      <c r="N50" s="180"/>
      <c r="O50" s="155">
        <f>SUM(O40:O49)</f>
        <v>10340</v>
      </c>
      <c r="P50" s="21">
        <v>11340</v>
      </c>
      <c r="Q50" s="116">
        <f>SUM(Q40:Q49)</f>
        <v>6717.73</v>
      </c>
      <c r="R50" s="185"/>
      <c r="S50" s="171">
        <v>11325</v>
      </c>
      <c r="T50" s="138">
        <v>7592</v>
      </c>
      <c r="U50" s="192"/>
      <c r="V50" s="171">
        <v>12570</v>
      </c>
      <c r="W50" s="138">
        <v>11579</v>
      </c>
      <c r="Y50" s="176">
        <v>12875</v>
      </c>
      <c r="Z50" s="21">
        <v>13042.56</v>
      </c>
      <c r="AB50" s="22">
        <v>15557</v>
      </c>
      <c r="AC50" s="22">
        <v>10685</v>
      </c>
      <c r="AE50" s="33">
        <v>12350</v>
      </c>
      <c r="AF50" s="33">
        <v>8199.2099999999991</v>
      </c>
      <c r="AH50" s="32">
        <v>11450</v>
      </c>
      <c r="AI50" s="32">
        <v>7894</v>
      </c>
      <c r="AK50" s="50">
        <f t="shared" si="1"/>
        <v>9831.9616666666661</v>
      </c>
    </row>
    <row r="51" spans="1:37" ht="15.75" customHeight="1" x14ac:dyDescent="0.25">
      <c r="A51" s="20" t="s">
        <v>119</v>
      </c>
      <c r="B51" s="197"/>
      <c r="C51" s="107"/>
      <c r="D51" s="180"/>
      <c r="E51" s="147"/>
      <c r="F51" s="205"/>
      <c r="G51" s="91"/>
      <c r="H51" s="94"/>
      <c r="I51" s="120"/>
      <c r="J51" s="180"/>
      <c r="K51" s="160"/>
      <c r="L51" s="30"/>
      <c r="M51" s="115"/>
      <c r="N51" s="180"/>
      <c r="O51" s="155"/>
      <c r="P51" s="30"/>
      <c r="Q51" s="115"/>
      <c r="R51" s="184"/>
      <c r="S51" s="170"/>
      <c r="T51" s="137"/>
      <c r="U51" s="190"/>
      <c r="V51" s="170"/>
      <c r="W51" s="137"/>
      <c r="Y51" s="178"/>
      <c r="Z51" s="36"/>
      <c r="AB51" s="37"/>
      <c r="AC51" s="37"/>
      <c r="AE51" s="29"/>
      <c r="AF51" s="29"/>
      <c r="AH51" s="28"/>
      <c r="AI51" s="28"/>
    </row>
    <row r="52" spans="1:37" ht="15.75" customHeight="1" x14ac:dyDescent="0.25">
      <c r="A52" s="26"/>
      <c r="B52" s="140"/>
      <c r="C52" s="107" t="s">
        <v>43</v>
      </c>
      <c r="D52" s="180"/>
      <c r="E52" s="207">
        <f>1381.25+1381.25+1381.25+1381.25+20+20+20+220.5+110.25+110.25</f>
        <v>6026</v>
      </c>
      <c r="F52" s="204">
        <f t="shared" ref="F52:F54" si="6">E52/G52</f>
        <v>1.0958356064739043</v>
      </c>
      <c r="G52" s="99">
        <v>5499</v>
      </c>
      <c r="H52" s="93">
        <v>6400</v>
      </c>
      <c r="I52" s="121">
        <v>3699.5</v>
      </c>
      <c r="J52" s="180"/>
      <c r="K52" s="148">
        <v>6400</v>
      </c>
      <c r="L52" s="70">
        <v>6400</v>
      </c>
      <c r="M52" s="130">
        <v>5120</v>
      </c>
      <c r="N52" s="180"/>
      <c r="O52" s="155">
        <v>6400</v>
      </c>
      <c r="P52" s="30">
        <v>6134</v>
      </c>
      <c r="Q52" s="115">
        <v>5335</v>
      </c>
      <c r="R52" s="184"/>
      <c r="S52" s="170">
        <v>11993</v>
      </c>
      <c r="T52" s="137">
        <v>6014</v>
      </c>
      <c r="U52" s="190"/>
      <c r="V52" s="170">
        <v>11735</v>
      </c>
      <c r="W52" s="137">
        <v>11993</v>
      </c>
      <c r="Y52" s="166">
        <v>11282</v>
      </c>
      <c r="Z52" s="30">
        <v>11306.5</v>
      </c>
      <c r="AB52" s="31">
        <v>9602</v>
      </c>
      <c r="AC52" s="31">
        <v>9602</v>
      </c>
      <c r="AE52" s="33">
        <v>4258</v>
      </c>
      <c r="AF52" s="33">
        <v>3199</v>
      </c>
      <c r="AH52" s="32">
        <v>4200</v>
      </c>
      <c r="AI52" s="32">
        <v>4135</v>
      </c>
      <c r="AK52" s="50">
        <f t="shared" si="1"/>
        <v>7708.25</v>
      </c>
    </row>
    <row r="53" spans="1:37" ht="15.75" customHeight="1" x14ac:dyDescent="0.25">
      <c r="A53" s="26"/>
      <c r="B53" s="140"/>
      <c r="C53" s="107" t="s">
        <v>93</v>
      </c>
      <c r="D53" s="180"/>
      <c r="E53" s="207">
        <f>41.42+116.16</f>
        <v>157.57999999999998</v>
      </c>
      <c r="F53" s="204">
        <f t="shared" si="6"/>
        <v>0.31579158316633266</v>
      </c>
      <c r="G53" s="99">
        <v>499</v>
      </c>
      <c r="H53" s="98">
        <v>600</v>
      </c>
      <c r="I53" s="122">
        <v>344</v>
      </c>
      <c r="J53" s="180"/>
      <c r="K53" s="149">
        <v>600</v>
      </c>
      <c r="L53" s="72">
        <v>600</v>
      </c>
      <c r="M53" s="132">
        <v>514</v>
      </c>
      <c r="N53" s="180"/>
      <c r="O53" s="155">
        <v>600</v>
      </c>
      <c r="P53" s="34">
        <v>600</v>
      </c>
      <c r="Q53" s="131">
        <v>534</v>
      </c>
      <c r="R53" s="186"/>
      <c r="S53" s="172">
        <v>800</v>
      </c>
      <c r="T53" s="139">
        <v>555</v>
      </c>
      <c r="U53" s="190"/>
      <c r="V53" s="172">
        <v>800</v>
      </c>
      <c r="W53" s="139">
        <v>757</v>
      </c>
      <c r="Y53" s="177">
        <v>800</v>
      </c>
      <c r="Z53" s="34">
        <v>797</v>
      </c>
      <c r="AB53" s="35">
        <v>800</v>
      </c>
      <c r="AC53" s="35">
        <v>797</v>
      </c>
      <c r="AE53" s="32">
        <v>1029</v>
      </c>
      <c r="AF53" s="29">
        <v>707</v>
      </c>
      <c r="AH53" s="28">
        <v>750</v>
      </c>
      <c r="AI53" s="28">
        <v>707</v>
      </c>
      <c r="AK53" s="50">
        <f t="shared" si="1"/>
        <v>720</v>
      </c>
    </row>
    <row r="54" spans="1:37" ht="15.75" customHeight="1" x14ac:dyDescent="0.25">
      <c r="A54" s="26"/>
      <c r="B54" s="140"/>
      <c r="C54" s="107" t="s">
        <v>44</v>
      </c>
      <c r="D54" s="180"/>
      <c r="E54" s="146">
        <f>SUM(E52:E53)</f>
        <v>6183.58</v>
      </c>
      <c r="F54" s="204">
        <f t="shared" si="6"/>
        <v>1.0309403134378126</v>
      </c>
      <c r="G54" s="102">
        <f>SUM(G52:G53)</f>
        <v>5998</v>
      </c>
      <c r="H54" s="92">
        <f>SUM(H52:H53)</f>
        <v>7000</v>
      </c>
      <c r="I54" s="123">
        <f>I53+I52</f>
        <v>4043.5</v>
      </c>
      <c r="J54" s="180"/>
      <c r="K54" s="150">
        <f>SUM(K52:K53)</f>
        <v>7000</v>
      </c>
      <c r="L54" s="21">
        <f>SUM(L52:L53)</f>
        <v>7000</v>
      </c>
      <c r="M54" s="116">
        <f>M53+M52</f>
        <v>5634</v>
      </c>
      <c r="N54" s="180"/>
      <c r="O54" s="155">
        <f>SUM(O52:O53)</f>
        <v>7000</v>
      </c>
      <c r="P54" s="21">
        <v>6734</v>
      </c>
      <c r="Q54" s="116">
        <f>Q53+Q52</f>
        <v>5869</v>
      </c>
      <c r="R54" s="185"/>
      <c r="S54" s="171">
        <v>12793</v>
      </c>
      <c r="T54" s="138">
        <v>6569</v>
      </c>
      <c r="U54" s="192"/>
      <c r="V54" s="171">
        <v>12535</v>
      </c>
      <c r="W54" s="138">
        <v>12750</v>
      </c>
      <c r="Y54" s="176">
        <v>12082</v>
      </c>
      <c r="Z54" s="21">
        <v>12103.5</v>
      </c>
      <c r="AB54" s="22">
        <v>10402</v>
      </c>
      <c r="AC54" s="22">
        <v>10399</v>
      </c>
      <c r="AE54" s="33">
        <v>5287</v>
      </c>
      <c r="AF54" s="33">
        <v>3906</v>
      </c>
      <c r="AH54" s="32">
        <v>4950</v>
      </c>
      <c r="AI54" s="32">
        <v>4842</v>
      </c>
      <c r="AK54" s="50">
        <f t="shared" si="1"/>
        <v>8428.25</v>
      </c>
    </row>
    <row r="55" spans="1:37" ht="15.75" customHeight="1" x14ac:dyDescent="0.25">
      <c r="A55" s="20" t="s">
        <v>120</v>
      </c>
      <c r="B55" s="197"/>
      <c r="C55" s="107"/>
      <c r="D55" s="180"/>
      <c r="E55" s="147"/>
      <c r="F55" s="205"/>
      <c r="G55" s="91"/>
      <c r="H55" s="94"/>
      <c r="I55" s="120"/>
      <c r="J55" s="180"/>
      <c r="K55" s="160"/>
      <c r="L55" s="30"/>
      <c r="M55" s="115"/>
      <c r="N55" s="180"/>
      <c r="O55" s="155"/>
      <c r="P55" s="30"/>
      <c r="Q55" s="115"/>
      <c r="R55" s="184"/>
      <c r="S55" s="170"/>
      <c r="T55" s="137"/>
      <c r="U55" s="190"/>
      <c r="V55" s="170"/>
      <c r="W55" s="137"/>
      <c r="Y55" s="178"/>
      <c r="Z55" s="36"/>
      <c r="AB55" s="37"/>
      <c r="AC55" s="37"/>
      <c r="AE55" s="29"/>
      <c r="AF55" s="29"/>
      <c r="AH55" s="28"/>
      <c r="AI55" s="28"/>
    </row>
    <row r="56" spans="1:37" ht="15.75" customHeight="1" x14ac:dyDescent="0.25">
      <c r="A56" s="20" t="s">
        <v>165</v>
      </c>
      <c r="B56" s="140"/>
      <c r="C56" s="107" t="s">
        <v>45</v>
      </c>
      <c r="D56" s="180"/>
      <c r="E56" s="207">
        <f>150+75+75</f>
        <v>300</v>
      </c>
      <c r="F56" s="204">
        <f t="shared" ref="F56:F58" si="7">E56/G56</f>
        <v>0.92307692307692313</v>
      </c>
      <c r="G56" s="99">
        <v>325</v>
      </c>
      <c r="H56" s="93">
        <v>325</v>
      </c>
      <c r="I56" s="121">
        <v>300</v>
      </c>
      <c r="J56" s="180"/>
      <c r="K56" s="148">
        <v>325</v>
      </c>
      <c r="L56" s="71">
        <v>325</v>
      </c>
      <c r="M56" s="130">
        <v>300</v>
      </c>
      <c r="N56" s="180"/>
      <c r="O56" s="155">
        <v>325</v>
      </c>
      <c r="P56" s="30">
        <v>325</v>
      </c>
      <c r="Q56" s="115">
        <v>300</v>
      </c>
      <c r="R56" s="184"/>
      <c r="S56" s="170">
        <v>300</v>
      </c>
      <c r="T56" s="137">
        <v>325</v>
      </c>
      <c r="U56" s="190"/>
      <c r="V56" s="170">
        <v>300</v>
      </c>
      <c r="W56" s="137">
        <v>300</v>
      </c>
      <c r="Y56" s="166">
        <v>300</v>
      </c>
      <c r="Z56" s="30">
        <v>300</v>
      </c>
      <c r="AB56" s="31">
        <v>300</v>
      </c>
      <c r="AC56" s="31">
        <v>324</v>
      </c>
      <c r="AE56" s="28">
        <v>375</v>
      </c>
      <c r="AF56" s="28">
        <v>375</v>
      </c>
      <c r="AH56" s="29">
        <v>375</v>
      </c>
      <c r="AI56" s="29">
        <v>380</v>
      </c>
      <c r="AK56" s="50">
        <f t="shared" si="1"/>
        <v>334</v>
      </c>
    </row>
    <row r="57" spans="1:37" ht="15.75" customHeight="1" x14ac:dyDescent="0.25">
      <c r="A57" s="26"/>
      <c r="B57" s="140"/>
      <c r="C57" s="107" t="s">
        <v>46</v>
      </c>
      <c r="D57" s="180"/>
      <c r="E57" s="207">
        <f>45.5</f>
        <v>45.5</v>
      </c>
      <c r="F57" s="204">
        <f t="shared" si="7"/>
        <v>0.15166666666666667</v>
      </c>
      <c r="G57" s="99">
        <v>300</v>
      </c>
      <c r="H57" s="98">
        <v>400</v>
      </c>
      <c r="I57" s="121">
        <f>92.04+230.79</f>
        <v>322.83</v>
      </c>
      <c r="J57" s="180"/>
      <c r="K57" s="149">
        <v>400</v>
      </c>
      <c r="L57" s="73">
        <v>400</v>
      </c>
      <c r="M57" s="132">
        <v>332.38</v>
      </c>
      <c r="N57" s="180"/>
      <c r="O57" s="155">
        <v>400</v>
      </c>
      <c r="P57" s="34">
        <v>400</v>
      </c>
      <c r="Q57" s="131">
        <v>440.74</v>
      </c>
      <c r="R57" s="186"/>
      <c r="S57" s="172">
        <v>400</v>
      </c>
      <c r="T57" s="139">
        <v>553</v>
      </c>
      <c r="U57" s="190"/>
      <c r="V57" s="172">
        <v>400</v>
      </c>
      <c r="W57" s="139">
        <v>553</v>
      </c>
      <c r="Y57" s="177">
        <v>400</v>
      </c>
      <c r="Z57" s="34">
        <v>328.41</v>
      </c>
      <c r="AB57" s="35">
        <v>750</v>
      </c>
      <c r="AC57" s="35">
        <v>400</v>
      </c>
      <c r="AE57" s="32">
        <v>1000</v>
      </c>
      <c r="AF57" s="29">
        <v>587.17999999999995</v>
      </c>
      <c r="AH57" s="33">
        <v>1000</v>
      </c>
      <c r="AI57" s="28">
        <v>747</v>
      </c>
      <c r="AK57" s="50">
        <f t="shared" si="1"/>
        <v>528.09833333333336</v>
      </c>
    </row>
    <row r="58" spans="1:37" ht="15.75" customHeight="1" x14ac:dyDescent="0.25">
      <c r="A58" s="26"/>
      <c r="B58" s="140"/>
      <c r="C58" s="107" t="s">
        <v>47</v>
      </c>
      <c r="D58" s="180"/>
      <c r="E58" s="151">
        <f>SUM(E56:E57)</f>
        <v>345.5</v>
      </c>
      <c r="F58" s="204">
        <f t="shared" si="7"/>
        <v>0.55279999999999996</v>
      </c>
      <c r="G58" s="103">
        <f>SUM(G55:G57)</f>
        <v>625</v>
      </c>
      <c r="H58" s="92">
        <f>SUM(H55:H57)</f>
        <v>725</v>
      </c>
      <c r="I58" s="127">
        <f>SUM(I56:I57)</f>
        <v>622.82999999999993</v>
      </c>
      <c r="J58" s="180"/>
      <c r="K58" s="150">
        <f>SUM(K55:K57)</f>
        <v>725</v>
      </c>
      <c r="L58" s="21">
        <v>725</v>
      </c>
      <c r="M58" s="116">
        <f>SUM(M56:M57)</f>
        <v>632.38</v>
      </c>
      <c r="N58" s="180"/>
      <c r="O58" s="155">
        <f>SUM(O56:O57)</f>
        <v>725</v>
      </c>
      <c r="P58" s="21">
        <v>725</v>
      </c>
      <c r="Q58" s="116">
        <f>SUM(Q56:Q57)</f>
        <v>740.74</v>
      </c>
      <c r="R58" s="185"/>
      <c r="S58" s="171">
        <v>700</v>
      </c>
      <c r="T58" s="138">
        <v>878</v>
      </c>
      <c r="U58" s="190"/>
      <c r="V58" s="171">
        <v>700</v>
      </c>
      <c r="W58" s="138">
        <v>853</v>
      </c>
      <c r="Y58" s="176">
        <v>700</v>
      </c>
      <c r="Z58" s="21">
        <v>628.41000000000008</v>
      </c>
      <c r="AB58" s="22">
        <v>1050</v>
      </c>
      <c r="AC58" s="22">
        <v>724</v>
      </c>
      <c r="AE58" s="33">
        <v>1375</v>
      </c>
      <c r="AF58" s="28">
        <v>962.18</v>
      </c>
      <c r="AH58" s="32">
        <v>1375</v>
      </c>
      <c r="AI58" s="32">
        <v>1127</v>
      </c>
      <c r="AK58" s="50">
        <f t="shared" si="1"/>
        <v>862.09833333333336</v>
      </c>
    </row>
    <row r="59" spans="1:37" ht="15.75" customHeight="1" x14ac:dyDescent="0.25">
      <c r="A59" s="26"/>
      <c r="B59" s="140"/>
      <c r="C59" s="107"/>
      <c r="D59" s="180"/>
      <c r="E59" s="147"/>
      <c r="F59" s="205"/>
      <c r="G59" s="91"/>
      <c r="H59" s="100"/>
      <c r="I59" s="123"/>
      <c r="J59" s="180"/>
      <c r="K59" s="161"/>
      <c r="L59" s="38"/>
      <c r="M59" s="135"/>
      <c r="N59" s="180"/>
      <c r="O59" s="155"/>
      <c r="P59" s="38"/>
      <c r="Q59" s="135"/>
      <c r="R59" s="187"/>
      <c r="S59" s="173"/>
      <c r="T59" s="141"/>
      <c r="U59" s="190"/>
      <c r="V59" s="173"/>
      <c r="W59" s="141"/>
      <c r="Y59" s="179"/>
      <c r="Z59" s="38"/>
      <c r="AB59" s="39"/>
      <c r="AC59" s="39"/>
      <c r="AE59" s="33"/>
      <c r="AF59" s="28"/>
      <c r="AH59" s="32"/>
      <c r="AI59" s="32"/>
    </row>
    <row r="60" spans="1:37" ht="15.75" customHeight="1" x14ac:dyDescent="0.4">
      <c r="A60" s="20" t="s">
        <v>94</v>
      </c>
      <c r="B60" s="197"/>
      <c r="C60" s="107"/>
      <c r="D60" s="180"/>
      <c r="E60" s="152">
        <f t="shared" ref="E60:I60" si="8">E58+E54+E50+E38+E27+E22+E8</f>
        <v>78292.501380000002</v>
      </c>
      <c r="F60" s="204">
        <f>E60/G60</f>
        <v>1.1479726134655275</v>
      </c>
      <c r="G60" s="40">
        <f t="shared" si="8"/>
        <v>68200.67</v>
      </c>
      <c r="H60" s="40">
        <f t="shared" si="8"/>
        <v>81912.67</v>
      </c>
      <c r="I60" s="128">
        <f t="shared" si="8"/>
        <v>64925.179150000004</v>
      </c>
      <c r="J60" s="180"/>
      <c r="K60" s="162"/>
      <c r="L60" s="40">
        <f>L58+L54+L50+L38+L27+L22+L8</f>
        <v>84514.38</v>
      </c>
      <c r="M60" s="128">
        <f>M58+M54+M50+M38+M27+M22+M8</f>
        <v>60742.806954999993</v>
      </c>
      <c r="N60" s="180"/>
      <c r="O60" s="168">
        <f>O58+O54+O50+O38+O27++O8+O22</f>
        <v>84514.38</v>
      </c>
      <c r="P60" s="40">
        <v>78112.782000000007</v>
      </c>
      <c r="Q60" s="128">
        <f>Q58+Q54+Q50+Q38+Q27+Q22+Q8</f>
        <v>50421.34317</v>
      </c>
      <c r="R60" s="188"/>
      <c r="S60" s="174">
        <v>122003.641</v>
      </c>
      <c r="T60" s="142">
        <v>92558.94</v>
      </c>
      <c r="U60" s="190"/>
      <c r="V60" s="174">
        <v>125611.3</v>
      </c>
      <c r="W60" s="142">
        <v>122237.74</v>
      </c>
      <c r="Y60" s="152">
        <v>124335.5</v>
      </c>
      <c r="Z60" s="40">
        <v>123475.84000000001</v>
      </c>
      <c r="AB60" s="41">
        <v>125426.5</v>
      </c>
      <c r="AC60" s="41">
        <v>119471</v>
      </c>
      <c r="AE60" s="42">
        <v>113757</v>
      </c>
      <c r="AF60" s="42">
        <v>107140.73</v>
      </c>
      <c r="AH60" s="43">
        <v>110986.6</v>
      </c>
      <c r="AI60" s="43">
        <v>105989.46</v>
      </c>
      <c r="AK60" s="50">
        <f t="shared" si="1"/>
        <v>111812.28499999999</v>
      </c>
    </row>
    <row r="61" spans="1:37" ht="15.75" customHeight="1" x14ac:dyDescent="0.4">
      <c r="A61" s="26" t="s">
        <v>95</v>
      </c>
      <c r="B61" s="140"/>
      <c r="C61" s="107"/>
      <c r="D61" s="180"/>
      <c r="E61" s="70"/>
      <c r="F61" s="208"/>
      <c r="G61" s="91"/>
      <c r="H61" s="101"/>
      <c r="I61" s="101"/>
      <c r="J61" s="180"/>
      <c r="K61" s="162"/>
      <c r="L61" s="40"/>
      <c r="M61" s="128"/>
      <c r="N61" s="180"/>
      <c r="O61" s="155"/>
      <c r="P61" s="40"/>
      <c r="Q61" s="128"/>
      <c r="R61" s="188"/>
      <c r="S61" s="174"/>
      <c r="T61" s="142"/>
      <c r="U61" s="190"/>
      <c r="V61" s="174"/>
      <c r="W61" s="142"/>
      <c r="Y61" s="152"/>
      <c r="Z61" s="44"/>
      <c r="AB61" s="41"/>
      <c r="AC61" s="45"/>
      <c r="AE61" s="42"/>
      <c r="AF61" s="42"/>
      <c r="AH61" s="43"/>
      <c r="AI61" s="43"/>
    </row>
    <row r="62" spans="1:37" ht="15.75" customHeight="1" x14ac:dyDescent="0.25">
      <c r="A62" s="26" t="s">
        <v>96</v>
      </c>
      <c r="B62" s="140"/>
      <c r="C62" s="107"/>
      <c r="D62" s="180"/>
      <c r="E62" s="70"/>
      <c r="F62" s="208"/>
      <c r="G62" s="91"/>
      <c r="H62" s="94"/>
      <c r="I62" s="94"/>
      <c r="J62" s="180"/>
      <c r="K62" s="160"/>
      <c r="L62" s="30">
        <v>1502.1688846153847</v>
      </c>
      <c r="M62" s="115"/>
      <c r="N62" s="180"/>
      <c r="O62" s="155"/>
      <c r="P62" s="30">
        <v>1502.1688846153847</v>
      </c>
      <c r="Q62" s="115"/>
      <c r="R62" s="184"/>
      <c r="S62" s="170">
        <v>2346.2238653846152</v>
      </c>
      <c r="T62" s="137">
        <v>1779.9796153846155</v>
      </c>
      <c r="U62" s="190"/>
      <c r="V62" s="170">
        <v>2415.601923076923</v>
      </c>
      <c r="W62" s="137">
        <v>2350.7257692307694</v>
      </c>
      <c r="Y62" s="166">
        <v>2391.0673076923076</v>
      </c>
      <c r="Z62" s="46">
        <v>2374.5353846153848</v>
      </c>
      <c r="AB62" s="31">
        <v>2412.0480769230771</v>
      </c>
      <c r="AC62" s="47">
        <v>2297.5192307692309</v>
      </c>
      <c r="AE62" s="43">
        <v>2187.63</v>
      </c>
      <c r="AF62" s="43">
        <v>2060.4</v>
      </c>
      <c r="AH62" s="42">
        <v>2134.36</v>
      </c>
      <c r="AI62" s="42">
        <v>2038.26</v>
      </c>
      <c r="AK62" s="50">
        <f t="shared" si="1"/>
        <v>2150.2366666666667</v>
      </c>
    </row>
    <row r="63" spans="1:37" ht="15.75" customHeight="1" x14ac:dyDescent="0.25">
      <c r="A63" s="26"/>
      <c r="B63" s="140"/>
      <c r="C63" s="107"/>
      <c r="D63" s="180"/>
      <c r="E63" s="70"/>
      <c r="F63" s="208"/>
      <c r="G63" s="91"/>
      <c r="H63" s="94"/>
      <c r="I63" s="94"/>
      <c r="J63" s="180"/>
      <c r="K63" s="160"/>
      <c r="L63" s="30"/>
      <c r="M63" s="115"/>
      <c r="N63" s="180"/>
      <c r="O63" s="155"/>
      <c r="P63" s="30"/>
      <c r="Q63" s="115"/>
      <c r="R63" s="180"/>
      <c r="S63" s="169"/>
      <c r="T63" s="140"/>
      <c r="U63" s="190"/>
    </row>
    <row r="64" spans="1:37" ht="15.75" customHeight="1" x14ac:dyDescent="0.25">
      <c r="A64" s="20" t="s">
        <v>48</v>
      </c>
      <c r="B64" s="197"/>
      <c r="C64" s="107"/>
      <c r="D64" s="180"/>
      <c r="E64" s="70"/>
      <c r="F64" s="208"/>
      <c r="G64" s="91"/>
      <c r="H64" s="94"/>
      <c r="I64" s="94"/>
      <c r="J64" s="180"/>
      <c r="K64" s="160"/>
      <c r="L64" s="30"/>
      <c r="M64" s="115"/>
      <c r="N64" s="180"/>
      <c r="O64" s="155"/>
      <c r="P64" s="30"/>
      <c r="Q64" s="115"/>
      <c r="R64" s="180"/>
      <c r="S64" s="169"/>
      <c r="T64" s="140"/>
      <c r="U64" s="190"/>
    </row>
    <row r="65" spans="1:26" ht="15.75" customHeight="1" x14ac:dyDescent="0.25">
      <c r="A65" s="20"/>
      <c r="B65" s="197"/>
      <c r="C65" s="107" t="s">
        <v>162</v>
      </c>
      <c r="D65" s="180"/>
      <c r="E65" s="209">
        <f>(44+42+49+45+42+42+43+49+24+30+38+40+38+39+53+90+35+49+48+42+40+39+43+38+66+33+46+55+30+41+41+36+37+40+42+47+37+40+39+62+31+37+44+37+36+37+53+60+47+80+31)/51</f>
        <v>43.666666666666664</v>
      </c>
      <c r="F65" s="208"/>
      <c r="G65" s="91"/>
      <c r="H65" s="94"/>
      <c r="I65" s="94"/>
      <c r="J65" s="180"/>
      <c r="K65" s="160"/>
      <c r="L65" s="30">
        <v>56</v>
      </c>
      <c r="M65" s="115"/>
      <c r="N65" s="180"/>
      <c r="O65" s="155"/>
      <c r="P65" s="30">
        <v>63</v>
      </c>
      <c r="Q65" s="115"/>
      <c r="R65" s="180"/>
      <c r="S65" s="169"/>
      <c r="T65" s="140"/>
      <c r="U65" s="190"/>
    </row>
    <row r="66" spans="1:26" ht="15.75" customHeight="1" x14ac:dyDescent="0.25">
      <c r="A66" s="20"/>
      <c r="B66" s="197"/>
      <c r="C66" s="107" t="s">
        <v>49</v>
      </c>
      <c r="D66" s="180"/>
      <c r="E66" s="70">
        <f>(25+105+95+323+87+175.25+56+53+60+81+52+60+56+56+75+35+50+504+40+60+70+198+58+52.25+60+65+55.75+55+45+60+66+40+90+115+76+81+52+60+75+48+31.1+75+100+41+57+58+38+33+61+86+38+15+139+125+38+158+50)/56</f>
        <v>82.381250000000009</v>
      </c>
      <c r="F66" s="208"/>
      <c r="G66" s="91"/>
      <c r="H66" s="70"/>
      <c r="I66" s="94"/>
      <c r="J66" s="180"/>
      <c r="K66" s="163"/>
      <c r="L66" s="74">
        <v>68.95</v>
      </c>
      <c r="M66" s="115"/>
      <c r="N66" s="180"/>
      <c r="O66" s="155"/>
      <c r="P66" s="30">
        <v>44</v>
      </c>
      <c r="Q66" s="115"/>
      <c r="R66" s="180"/>
      <c r="S66" s="169"/>
      <c r="T66" s="140"/>
      <c r="U66" s="190"/>
    </row>
    <row r="67" spans="1:26" ht="15.75" customHeight="1" x14ac:dyDescent="0.25">
      <c r="A67" s="20"/>
      <c r="B67" s="197"/>
      <c r="C67" s="107" t="s">
        <v>50</v>
      </c>
      <c r="D67" s="180"/>
      <c r="E67" s="70">
        <f>(2272+1097+1184+1767+1415+889+776+1772+25+1452+832+20+695+932+10+1605+949+25+1023+544+2017+1127+862+590+1754+1652+60+865+654+198+938+552+797+1932+1052+580+818+1867+1005+1027+720+544+2017+505+780+1705+1031+1271+810+2691+1192+1445+268+600)/54</f>
        <v>1022.4074074074074</v>
      </c>
      <c r="F67" s="208"/>
      <c r="G67" s="91"/>
      <c r="H67" s="72"/>
      <c r="I67" s="210"/>
      <c r="J67" s="180"/>
      <c r="K67" s="164"/>
      <c r="L67" s="75">
        <v>1119.03</v>
      </c>
      <c r="M67" s="131"/>
      <c r="N67" s="180"/>
      <c r="O67" s="155"/>
      <c r="P67" s="34">
        <v>1314.16</v>
      </c>
      <c r="Q67" s="131"/>
      <c r="R67" s="186"/>
      <c r="S67" s="170"/>
      <c r="T67" s="137"/>
      <c r="U67" s="190"/>
    </row>
    <row r="68" spans="1:26" ht="15.75" customHeight="1" x14ac:dyDescent="0.25">
      <c r="A68" s="20"/>
      <c r="B68" s="197"/>
      <c r="C68" s="107" t="s">
        <v>51</v>
      </c>
      <c r="D68" s="180"/>
      <c r="E68" s="70">
        <f>SUM(E66:E67)</f>
        <v>1104.7886574074073</v>
      </c>
      <c r="F68" s="208"/>
      <c r="G68" s="91"/>
      <c r="H68" s="70"/>
      <c r="I68" s="94"/>
      <c r="J68" s="180"/>
      <c r="K68" s="163"/>
      <c r="L68" s="74">
        <f>L67+L66</f>
        <v>1187.98</v>
      </c>
      <c r="M68" s="115"/>
      <c r="N68" s="180"/>
      <c r="O68" s="155"/>
      <c r="P68" s="30">
        <v>1358.16</v>
      </c>
      <c r="Q68" s="115"/>
      <c r="R68" s="184"/>
      <c r="S68" s="170"/>
      <c r="T68" s="137"/>
      <c r="U68" s="190"/>
    </row>
    <row r="69" spans="1:26" ht="15.75" customHeight="1" x14ac:dyDescent="0.25">
      <c r="A69" s="20"/>
      <c r="B69" s="197"/>
      <c r="C69" s="107" t="s">
        <v>52</v>
      </c>
      <c r="D69" s="180"/>
      <c r="E69" s="70">
        <f>G60/52</f>
        <v>1311.5513461538462</v>
      </c>
      <c r="F69" s="208"/>
      <c r="G69" s="91"/>
      <c r="H69" s="72"/>
      <c r="I69" s="210"/>
      <c r="J69" s="180"/>
      <c r="K69" s="164"/>
      <c r="L69" s="75">
        <v>1529</v>
      </c>
      <c r="M69" s="131"/>
      <c r="N69" s="180"/>
      <c r="O69" s="155"/>
      <c r="P69" s="34">
        <v>1499</v>
      </c>
      <c r="Q69" s="131"/>
      <c r="R69" s="186"/>
      <c r="S69" s="170"/>
      <c r="T69" s="137"/>
      <c r="U69" s="190"/>
    </row>
    <row r="70" spans="1:26" ht="15.75" customHeight="1" x14ac:dyDescent="0.25">
      <c r="A70" s="20"/>
      <c r="B70" s="197"/>
      <c r="C70" s="107" t="s">
        <v>97</v>
      </c>
      <c r="D70" s="180"/>
      <c r="E70" s="211">
        <f>E68-E69</f>
        <v>-206.76268874643893</v>
      </c>
      <c r="F70" s="212"/>
      <c r="G70" s="91"/>
      <c r="H70" s="70"/>
      <c r="I70" s="94"/>
      <c r="J70" s="180"/>
      <c r="K70" s="163"/>
      <c r="L70" s="105">
        <f>L68-L69</f>
        <v>-341.02</v>
      </c>
      <c r="M70" s="115"/>
      <c r="N70" s="180"/>
      <c r="O70" s="155"/>
      <c r="P70" s="106">
        <v>-140.83999999999992</v>
      </c>
      <c r="Q70" s="115"/>
      <c r="R70" s="184"/>
      <c r="S70" s="170"/>
      <c r="T70" s="137"/>
      <c r="U70" s="190"/>
    </row>
    <row r="71" spans="1:26" ht="25.5" customHeight="1" x14ac:dyDescent="0.25">
      <c r="A71" s="26"/>
      <c r="B71" s="140"/>
      <c r="C71" s="110" t="s">
        <v>121</v>
      </c>
      <c r="D71" s="181"/>
      <c r="E71" s="102">
        <f>E70/E65</f>
        <v>-4.7350234064069987</v>
      </c>
      <c r="F71" s="213"/>
      <c r="G71" s="95"/>
      <c r="H71" s="102"/>
      <c r="I71" s="97"/>
      <c r="J71" s="181"/>
      <c r="K71" s="165"/>
      <c r="L71" s="76">
        <f>L70/L65</f>
        <v>-6.0896428571428567</v>
      </c>
      <c r="M71" s="116"/>
      <c r="N71" s="181"/>
      <c r="O71" s="156"/>
      <c r="P71" s="21">
        <v>-2.6573584905660361</v>
      </c>
      <c r="Q71" s="116"/>
      <c r="R71" s="189"/>
      <c r="S71" s="169"/>
      <c r="T71" s="140"/>
      <c r="U71" s="190"/>
    </row>
    <row r="72" spans="1:26" ht="15.75" customHeight="1" x14ac:dyDescent="0.25">
      <c r="A72" s="26"/>
      <c r="B72" s="140"/>
      <c r="C72" s="107"/>
      <c r="D72" s="180"/>
      <c r="E72" s="70"/>
      <c r="F72" s="208"/>
      <c r="G72" s="91"/>
      <c r="H72" s="94"/>
      <c r="I72" s="94"/>
      <c r="J72" s="180"/>
      <c r="K72" s="160"/>
      <c r="L72" s="30"/>
      <c r="M72" s="115"/>
      <c r="N72" s="180"/>
      <c r="O72" s="169"/>
      <c r="P72" s="30"/>
      <c r="Q72" s="115"/>
      <c r="R72" s="180"/>
      <c r="S72" s="169"/>
      <c r="T72" s="140"/>
      <c r="U72" s="190"/>
    </row>
    <row r="73" spans="1:26" ht="15.75" customHeight="1" x14ac:dyDescent="0.25">
      <c r="A73" s="20" t="s">
        <v>143</v>
      </c>
      <c r="B73" s="197"/>
      <c r="C73" s="107"/>
      <c r="D73" s="180"/>
      <c r="E73" s="70"/>
      <c r="F73" s="208"/>
      <c r="G73" s="91"/>
      <c r="H73" s="94"/>
      <c r="I73" s="94"/>
      <c r="J73" s="180"/>
      <c r="K73" s="160"/>
      <c r="L73" s="30"/>
      <c r="M73" s="115"/>
      <c r="N73" s="180"/>
      <c r="O73" s="155"/>
      <c r="P73" s="30"/>
      <c r="Q73" s="115"/>
      <c r="R73" s="184"/>
      <c r="S73" s="170"/>
      <c r="T73" s="137"/>
      <c r="U73" s="190"/>
    </row>
    <row r="74" spans="1:26" ht="15.75" customHeight="1" x14ac:dyDescent="0.25">
      <c r="A74" s="57" t="s">
        <v>53</v>
      </c>
      <c r="B74" s="198"/>
      <c r="C74" s="107"/>
      <c r="D74" s="180"/>
      <c r="E74" s="70"/>
      <c r="F74" s="208"/>
      <c r="G74" s="91"/>
      <c r="H74" s="94"/>
      <c r="I74" s="94"/>
      <c r="J74" s="180"/>
      <c r="K74" s="160"/>
      <c r="L74" s="30"/>
      <c r="M74" s="115"/>
      <c r="N74" s="180"/>
      <c r="O74" s="155"/>
      <c r="P74" s="30"/>
      <c r="Q74" s="115"/>
      <c r="R74" s="184"/>
      <c r="S74" s="170"/>
      <c r="T74" s="137"/>
      <c r="U74" s="190"/>
    </row>
    <row r="75" spans="1:26" ht="15.75" customHeight="1" x14ac:dyDescent="0.2">
      <c r="A75" s="26"/>
      <c r="B75" s="140"/>
      <c r="C75" s="107" t="s">
        <v>54</v>
      </c>
      <c r="D75" s="180"/>
      <c r="E75" s="218">
        <v>7077.99</v>
      </c>
      <c r="F75" s="214"/>
      <c r="G75" s="49"/>
      <c r="H75" s="30"/>
      <c r="I75" s="30"/>
      <c r="J75" s="180"/>
      <c r="K75" s="166"/>
      <c r="L75" s="30"/>
      <c r="M75" s="115"/>
      <c r="N75" s="180"/>
      <c r="O75" s="155"/>
      <c r="P75" s="30"/>
      <c r="Q75" s="115"/>
      <c r="R75" s="184"/>
      <c r="S75" s="169"/>
      <c r="T75" s="115">
        <v>21.48</v>
      </c>
      <c r="U75" s="190"/>
      <c r="W75" s="137">
        <v>542.91999999999996</v>
      </c>
      <c r="Z75" s="58">
        <v>542.91999999999996</v>
      </c>
    </row>
    <row r="76" spans="1:26" ht="15.75" customHeight="1" x14ac:dyDescent="0.3">
      <c r="A76" s="26"/>
      <c r="B76" s="140"/>
      <c r="C76" s="107" t="s">
        <v>55</v>
      </c>
      <c r="D76" s="180"/>
      <c r="E76" s="216">
        <f>SUM(Data!FB3:FM3)</f>
        <v>79530.69</v>
      </c>
      <c r="F76" s="214"/>
      <c r="G76" s="49"/>
      <c r="H76" s="30"/>
      <c r="I76" s="30"/>
      <c r="J76" s="180"/>
      <c r="K76" s="166"/>
      <c r="L76" s="30"/>
      <c r="M76" s="115"/>
      <c r="N76" s="180"/>
      <c r="O76" s="155"/>
      <c r="P76" s="30"/>
      <c r="Q76" s="115"/>
      <c r="R76" s="184"/>
      <c r="S76" s="169"/>
      <c r="T76" s="115">
        <v>71669.36</v>
      </c>
      <c r="U76" s="190"/>
      <c r="W76" s="137">
        <v>75139.28</v>
      </c>
      <c r="Z76" s="58">
        <v>75139.28</v>
      </c>
    </row>
    <row r="77" spans="1:26" ht="15.75" customHeight="1" x14ac:dyDescent="0.3">
      <c r="A77" s="26"/>
      <c r="B77" s="140"/>
      <c r="C77" s="107" t="s">
        <v>56</v>
      </c>
      <c r="D77" s="180"/>
      <c r="E77" s="217">
        <v>0</v>
      </c>
      <c r="F77" s="214"/>
      <c r="G77" s="49"/>
      <c r="H77" s="30"/>
      <c r="I77" s="30"/>
      <c r="J77" s="180"/>
      <c r="K77" s="166"/>
      <c r="L77" s="30"/>
      <c r="M77" s="115"/>
      <c r="N77" s="180"/>
      <c r="O77" s="155"/>
      <c r="P77" s="30"/>
      <c r="Q77" s="115"/>
      <c r="R77" s="184"/>
      <c r="S77" s="169"/>
      <c r="T77" s="115">
        <v>3750</v>
      </c>
      <c r="U77" s="190"/>
      <c r="W77" s="137">
        <v>3750</v>
      </c>
      <c r="Z77" s="58">
        <v>3750</v>
      </c>
    </row>
    <row r="78" spans="1:26" ht="15.75" customHeight="1" x14ac:dyDescent="0.3">
      <c r="A78" s="26"/>
      <c r="B78" s="140"/>
      <c r="C78" s="111" t="s">
        <v>106</v>
      </c>
      <c r="E78" s="217">
        <v>0</v>
      </c>
      <c r="F78" s="215"/>
      <c r="H78" s="30"/>
      <c r="I78" s="30"/>
      <c r="K78" s="166"/>
      <c r="L78" s="30"/>
      <c r="M78" s="115"/>
      <c r="P78" s="30"/>
      <c r="Q78" s="115"/>
      <c r="R78" s="184"/>
      <c r="S78" s="169"/>
      <c r="T78" s="115"/>
      <c r="U78" s="190"/>
      <c r="W78" s="137"/>
      <c r="Z78" s="58">
        <v>30629.95</v>
      </c>
    </row>
    <row r="79" spans="1:26" ht="15.75" customHeight="1" x14ac:dyDescent="0.3">
      <c r="A79" s="26"/>
      <c r="B79" s="140"/>
      <c r="C79" s="107" t="s">
        <v>57</v>
      </c>
      <c r="D79" s="180"/>
      <c r="E79" s="217">
        <v>0</v>
      </c>
      <c r="F79" s="214"/>
      <c r="G79" s="49"/>
      <c r="H79" s="30"/>
      <c r="I79" s="30"/>
      <c r="J79" s="180"/>
      <c r="K79" s="166"/>
      <c r="L79" s="30"/>
      <c r="M79" s="115"/>
      <c r="N79" s="180"/>
      <c r="O79" s="155"/>
      <c r="P79" s="30"/>
      <c r="Q79" s="115"/>
      <c r="R79" s="184"/>
      <c r="S79" s="169"/>
      <c r="T79" s="115">
        <v>10100</v>
      </c>
      <c r="U79" s="190"/>
      <c r="W79" s="137">
        <v>13475</v>
      </c>
      <c r="Z79" s="58">
        <v>13475</v>
      </c>
    </row>
    <row r="80" spans="1:26" ht="15.75" customHeight="1" x14ac:dyDescent="0.3">
      <c r="A80" s="26"/>
      <c r="B80" s="140"/>
      <c r="C80" s="107" t="s">
        <v>58</v>
      </c>
      <c r="D80" s="180"/>
      <c r="E80" s="216">
        <v>0</v>
      </c>
      <c r="F80" s="214"/>
      <c r="G80" s="49"/>
      <c r="H80" s="30"/>
      <c r="I80" s="30"/>
      <c r="J80" s="180"/>
      <c r="K80" s="166"/>
      <c r="L80" s="30"/>
      <c r="M80" s="115"/>
      <c r="N80" s="180"/>
      <c r="O80" s="155"/>
      <c r="P80" s="30"/>
      <c r="Q80" s="115"/>
      <c r="R80" s="184"/>
      <c r="S80" s="169"/>
      <c r="T80" s="115">
        <v>1750</v>
      </c>
      <c r="U80" s="190"/>
      <c r="W80" s="137">
        <v>30629.95</v>
      </c>
      <c r="Z80" s="58"/>
    </row>
    <row r="81" spans="1:26" ht="15.75" customHeight="1" x14ac:dyDescent="0.3">
      <c r="A81" s="26"/>
      <c r="B81" s="140"/>
      <c r="C81" s="107" t="s">
        <v>59</v>
      </c>
      <c r="D81" s="180"/>
      <c r="E81" s="216">
        <v>0</v>
      </c>
      <c r="F81" s="214"/>
      <c r="G81" s="49"/>
      <c r="H81" s="30"/>
      <c r="I81" s="30"/>
      <c r="J81" s="180"/>
      <c r="K81" s="166"/>
      <c r="L81" s="30"/>
      <c r="M81" s="115"/>
      <c r="N81" s="180"/>
      <c r="O81" s="155"/>
      <c r="P81" s="30"/>
      <c r="Q81" s="115"/>
      <c r="R81" s="184"/>
      <c r="S81" s="169"/>
      <c r="T81" s="115">
        <v>5161.95</v>
      </c>
      <c r="U81" s="190"/>
      <c r="W81" s="137">
        <v>-110974.04</v>
      </c>
      <c r="Z81" s="58">
        <v>-110974.04</v>
      </c>
    </row>
    <row r="82" spans="1:26" ht="15.75" customHeight="1" x14ac:dyDescent="0.3">
      <c r="A82" s="26"/>
      <c r="B82" s="140"/>
      <c r="C82" s="107" t="s">
        <v>60</v>
      </c>
      <c r="D82" s="180"/>
      <c r="E82" s="216">
        <f>SUM(Data!FB4:FM4)</f>
        <v>75454.83</v>
      </c>
      <c r="F82" s="214"/>
      <c r="G82" s="49"/>
      <c r="H82" s="30"/>
      <c r="I82" s="30"/>
      <c r="J82" s="180"/>
      <c r="K82" s="166"/>
      <c r="L82" s="30"/>
      <c r="M82" s="115"/>
      <c r="N82" s="180"/>
      <c r="O82" s="155"/>
      <c r="P82" s="30"/>
      <c r="Q82" s="115"/>
      <c r="R82" s="184"/>
      <c r="S82" s="169"/>
      <c r="T82" s="115">
        <v>-86456.67</v>
      </c>
      <c r="U82" s="190"/>
      <c r="W82" s="139">
        <v>-12000</v>
      </c>
      <c r="Z82" s="58">
        <v>-12000</v>
      </c>
    </row>
    <row r="83" spans="1:26" ht="15.75" customHeight="1" x14ac:dyDescent="0.3">
      <c r="A83" s="26"/>
      <c r="B83" s="140"/>
      <c r="C83" s="107" t="s">
        <v>61</v>
      </c>
      <c r="D83" s="180"/>
      <c r="E83" s="216"/>
      <c r="F83" s="214"/>
      <c r="G83" s="49"/>
      <c r="H83" s="30"/>
      <c r="I83" s="30"/>
      <c r="J83" s="180"/>
      <c r="K83" s="166"/>
      <c r="L83" s="30"/>
      <c r="M83" s="115"/>
      <c r="N83" s="180"/>
      <c r="O83" s="155"/>
      <c r="P83" s="30"/>
      <c r="Q83" s="115"/>
      <c r="R83" s="184"/>
      <c r="S83" s="169"/>
      <c r="T83" s="131">
        <v>-2350</v>
      </c>
      <c r="U83" s="190"/>
      <c r="W83" s="137">
        <v>563.11000000000058</v>
      </c>
      <c r="Z83" s="58">
        <f>SUM(Z75:Z82)</f>
        <v>563.11000000000058</v>
      </c>
    </row>
    <row r="84" spans="1:26" ht="15.75" customHeight="1" x14ac:dyDescent="0.35">
      <c r="A84" s="26"/>
      <c r="B84" s="140"/>
      <c r="C84" s="107" t="s">
        <v>62</v>
      </c>
      <c r="D84" s="180"/>
      <c r="E84" s="216">
        <f>E75+E76-E82</f>
        <v>11153.850000000006</v>
      </c>
      <c r="F84" s="214"/>
      <c r="G84" s="49"/>
      <c r="H84" s="30"/>
      <c r="I84" s="30"/>
      <c r="J84" s="180"/>
      <c r="K84" s="166"/>
      <c r="L84" s="30"/>
      <c r="M84" s="115">
        <v>18745.18</v>
      </c>
      <c r="N84" s="180"/>
      <c r="O84" s="155"/>
      <c r="P84" s="30"/>
      <c r="Q84" s="115"/>
      <c r="R84" s="184"/>
      <c r="S84" s="169"/>
      <c r="T84" s="143">
        <v>3646.1199999999953</v>
      </c>
      <c r="U84" s="190"/>
      <c r="W84" s="137"/>
      <c r="Z84" s="58"/>
    </row>
    <row r="85" spans="1:26" ht="15.75" customHeight="1" x14ac:dyDescent="0.3">
      <c r="A85" s="57" t="s">
        <v>63</v>
      </c>
      <c r="B85" s="198"/>
      <c r="C85" s="107"/>
      <c r="D85" s="180"/>
      <c r="E85" s="216"/>
      <c r="F85" s="214"/>
      <c r="G85" s="49"/>
      <c r="H85" s="30"/>
      <c r="I85" s="30"/>
      <c r="J85" s="180"/>
      <c r="K85" s="166"/>
      <c r="L85" s="30"/>
      <c r="M85" s="115"/>
      <c r="N85" s="180"/>
      <c r="O85" s="155"/>
      <c r="P85" s="30"/>
      <c r="Q85" s="115"/>
      <c r="R85" s="184"/>
      <c r="S85" s="169"/>
      <c r="T85" s="115"/>
      <c r="U85" s="190"/>
      <c r="W85" s="137"/>
      <c r="Z85" s="58"/>
    </row>
    <row r="86" spans="1:26" ht="15.75" customHeight="1" x14ac:dyDescent="0.2">
      <c r="A86" s="26"/>
      <c r="B86" s="140"/>
      <c r="C86" s="107" t="s">
        <v>54</v>
      </c>
      <c r="D86" s="180"/>
      <c r="E86" s="218">
        <v>42664.07</v>
      </c>
      <c r="F86" s="214"/>
      <c r="G86" s="49"/>
      <c r="H86" s="30"/>
      <c r="I86" s="30"/>
      <c r="J86" s="180"/>
      <c r="K86" s="166"/>
      <c r="L86" s="30"/>
      <c r="M86" s="115"/>
      <c r="N86" s="180"/>
      <c r="O86" s="155"/>
      <c r="P86" s="30"/>
      <c r="Q86" s="115"/>
      <c r="R86" s="184"/>
      <c r="S86" s="169"/>
      <c r="T86" s="115">
        <v>1401.51</v>
      </c>
      <c r="U86" s="190"/>
      <c r="W86" s="137">
        <v>9524.61</v>
      </c>
      <c r="Z86" s="58">
        <v>9524.61</v>
      </c>
    </row>
    <row r="87" spans="1:26" ht="15.75" customHeight="1" x14ac:dyDescent="0.3">
      <c r="A87" s="26"/>
      <c r="B87" s="140"/>
      <c r="C87" s="107" t="s">
        <v>55</v>
      </c>
      <c r="D87" s="180"/>
      <c r="E87" s="216">
        <f>SUM(Data!FB8:FM8)</f>
        <v>15299.279999999999</v>
      </c>
      <c r="F87" s="214"/>
      <c r="G87" s="49"/>
      <c r="H87" s="30"/>
      <c r="I87" s="30"/>
      <c r="J87" s="180"/>
      <c r="K87" s="166"/>
      <c r="L87" s="30"/>
      <c r="M87" s="115"/>
      <c r="N87" s="180"/>
      <c r="O87" s="155"/>
      <c r="P87" s="30"/>
      <c r="Q87" s="115"/>
      <c r="R87" s="184"/>
      <c r="S87" s="169"/>
      <c r="T87" s="115">
        <v>24569.25</v>
      </c>
      <c r="U87" s="190"/>
      <c r="W87" s="137">
        <v>39639.1</v>
      </c>
      <c r="Z87" s="58">
        <v>39639.1</v>
      </c>
    </row>
    <row r="88" spans="1:26" ht="15.75" customHeight="1" x14ac:dyDescent="0.3">
      <c r="A88" s="26"/>
      <c r="B88" s="140"/>
      <c r="C88" s="107" t="s">
        <v>64</v>
      </c>
      <c r="D88" s="180"/>
      <c r="E88" s="217">
        <v>0</v>
      </c>
      <c r="F88" s="214"/>
      <c r="G88" s="49"/>
      <c r="H88" s="30"/>
      <c r="I88" s="30"/>
      <c r="J88" s="180"/>
      <c r="K88" s="166"/>
      <c r="L88" s="30"/>
      <c r="M88" s="115"/>
      <c r="N88" s="180"/>
      <c r="O88" s="155"/>
      <c r="P88" s="30"/>
      <c r="Q88" s="115"/>
      <c r="R88" s="184"/>
      <c r="S88" s="169"/>
      <c r="T88" s="115">
        <v>6750</v>
      </c>
      <c r="U88" s="190"/>
      <c r="W88" s="137"/>
      <c r="Z88" s="58"/>
    </row>
    <row r="89" spans="1:26" ht="15.75" customHeight="1" x14ac:dyDescent="0.3">
      <c r="A89" s="26"/>
      <c r="B89" s="140"/>
      <c r="C89" s="107" t="s">
        <v>60</v>
      </c>
      <c r="D89" s="180"/>
      <c r="E89" s="216">
        <f>SUM(Data!FB9:FM9)</f>
        <v>24679.840000000004</v>
      </c>
      <c r="F89" s="214"/>
      <c r="G89" s="49"/>
      <c r="H89" s="30"/>
      <c r="I89" s="30"/>
      <c r="J89" s="180"/>
      <c r="K89" s="166"/>
      <c r="L89" s="30"/>
      <c r="M89" s="115"/>
      <c r="N89" s="180"/>
      <c r="O89" s="155"/>
      <c r="P89" s="30"/>
      <c r="Q89" s="115"/>
      <c r="R89" s="184"/>
      <c r="S89" s="169"/>
      <c r="T89" s="115">
        <v>-10823.7</v>
      </c>
      <c r="U89" s="190"/>
      <c r="W89" s="137">
        <v>-32505.77</v>
      </c>
      <c r="Z89" s="58">
        <v>-32505.77</v>
      </c>
    </row>
    <row r="90" spans="1:26" ht="15.75" customHeight="1" x14ac:dyDescent="0.3">
      <c r="A90" s="26"/>
      <c r="B90" s="140"/>
      <c r="C90" s="107" t="s">
        <v>65</v>
      </c>
      <c r="D90" s="180"/>
      <c r="E90" s="217">
        <v>0</v>
      </c>
      <c r="F90" s="214"/>
      <c r="G90" s="49"/>
      <c r="H90" s="30"/>
      <c r="I90" s="30"/>
      <c r="J90" s="180"/>
      <c r="K90" s="166"/>
      <c r="L90" s="30"/>
      <c r="M90" s="115"/>
      <c r="N90" s="180"/>
      <c r="O90" s="155"/>
      <c r="P90" s="30"/>
      <c r="Q90" s="115"/>
      <c r="R90" s="184"/>
      <c r="S90" s="169"/>
      <c r="T90" s="115">
        <v>-10100</v>
      </c>
      <c r="U90" s="190"/>
      <c r="W90" s="137">
        <v>-13475</v>
      </c>
      <c r="Z90" s="58">
        <v>-13475</v>
      </c>
    </row>
    <row r="91" spans="1:26" ht="15.75" customHeight="1" x14ac:dyDescent="0.3">
      <c r="A91" s="26"/>
      <c r="B91" s="140"/>
      <c r="C91" s="107" t="s">
        <v>66</v>
      </c>
      <c r="D91" s="180"/>
      <c r="E91" s="217">
        <v>0</v>
      </c>
      <c r="F91" s="214"/>
      <c r="G91" s="49"/>
      <c r="H91" s="30"/>
      <c r="I91" s="30"/>
      <c r="J91" s="180"/>
      <c r="K91" s="166"/>
      <c r="L91" s="30"/>
      <c r="M91" s="115"/>
      <c r="N91" s="180"/>
      <c r="O91" s="155"/>
      <c r="P91" s="30"/>
      <c r="Q91" s="115"/>
      <c r="R91" s="184"/>
      <c r="S91" s="169"/>
      <c r="T91" s="131">
        <v>-1300</v>
      </c>
      <c r="U91" s="190"/>
      <c r="W91" s="139">
        <v>-10</v>
      </c>
      <c r="Z91" s="58">
        <v>-10</v>
      </c>
    </row>
    <row r="92" spans="1:26" ht="15.75" customHeight="1" x14ac:dyDescent="0.35">
      <c r="A92" s="26"/>
      <c r="B92" s="140"/>
      <c r="C92" s="107" t="s">
        <v>62</v>
      </c>
      <c r="D92" s="180"/>
      <c r="E92" s="216">
        <f>E86+E87-E89</f>
        <v>33283.509999999995</v>
      </c>
      <c r="F92" s="214"/>
      <c r="G92" s="49"/>
      <c r="H92" s="30"/>
      <c r="I92" s="30"/>
      <c r="J92" s="180"/>
      <c r="K92" s="166"/>
      <c r="L92" s="30"/>
      <c r="M92" s="115">
        <v>28858.959999999999</v>
      </c>
      <c r="N92" s="180"/>
      <c r="O92" s="155"/>
      <c r="P92" s="30"/>
      <c r="Q92" s="115"/>
      <c r="R92" s="184"/>
      <c r="S92" s="169"/>
      <c r="T92" s="143">
        <v>10497.059999999998</v>
      </c>
      <c r="U92" s="190"/>
      <c r="W92" s="137">
        <v>3172.9399999999987</v>
      </c>
      <c r="Z92" s="58">
        <f>SUM(Z86:Z91)</f>
        <v>3172.9399999999987</v>
      </c>
    </row>
    <row r="93" spans="1:26" ht="15.75" customHeight="1" x14ac:dyDescent="0.3">
      <c r="A93" s="57" t="s">
        <v>67</v>
      </c>
      <c r="B93" s="198"/>
      <c r="C93" s="107"/>
      <c r="D93" s="180"/>
      <c r="E93" s="216"/>
      <c r="F93" s="214"/>
      <c r="G93" s="49"/>
      <c r="H93" s="30"/>
      <c r="I93" s="30"/>
      <c r="J93" s="180"/>
      <c r="K93" s="166"/>
      <c r="L93" s="30"/>
      <c r="M93" s="115"/>
      <c r="N93" s="180"/>
      <c r="O93" s="155"/>
      <c r="P93" s="30"/>
      <c r="Q93" s="115"/>
      <c r="R93" s="184"/>
      <c r="S93" s="169"/>
      <c r="T93" s="140"/>
      <c r="U93" s="190"/>
      <c r="W93" s="137"/>
      <c r="Z93" s="58"/>
    </row>
    <row r="94" spans="1:26" ht="15.75" customHeight="1" x14ac:dyDescent="0.2">
      <c r="A94" s="26"/>
      <c r="B94" s="140"/>
      <c r="C94" s="107" t="s">
        <v>54</v>
      </c>
      <c r="D94" s="180"/>
      <c r="E94" s="218">
        <v>4864.26</v>
      </c>
      <c r="F94" s="214"/>
      <c r="G94" s="49"/>
      <c r="H94" s="30"/>
      <c r="I94" s="30"/>
      <c r="J94" s="180"/>
      <c r="K94" s="166"/>
      <c r="L94" s="30"/>
      <c r="M94" s="115"/>
      <c r="N94" s="180"/>
      <c r="O94" s="155"/>
      <c r="P94" s="30"/>
      <c r="Q94" s="115"/>
      <c r="R94" s="184"/>
      <c r="S94" s="169"/>
      <c r="T94" s="115">
        <v>1522.47</v>
      </c>
      <c r="U94" s="190"/>
      <c r="W94" s="137"/>
      <c r="Z94" s="58"/>
    </row>
    <row r="95" spans="1:26" ht="15.75" customHeight="1" x14ac:dyDescent="0.3">
      <c r="A95" s="26"/>
      <c r="B95" s="140"/>
      <c r="C95" s="107" t="s">
        <v>55</v>
      </c>
      <c r="D95" s="180"/>
      <c r="E95" s="216">
        <f>SUM(Data!FB13:FM13)</f>
        <v>1336.1600000000003</v>
      </c>
      <c r="F95" s="214"/>
      <c r="G95" s="49"/>
      <c r="H95" s="30"/>
      <c r="I95" s="30"/>
      <c r="J95" s="180"/>
      <c r="K95" s="166"/>
      <c r="L95" s="30"/>
      <c r="M95" s="115"/>
      <c r="N95" s="180"/>
      <c r="O95" s="155"/>
      <c r="P95" s="30"/>
      <c r="Q95" s="115"/>
      <c r="R95" s="184"/>
      <c r="S95" s="169"/>
      <c r="T95" s="115">
        <v>490.36</v>
      </c>
      <c r="U95" s="190"/>
      <c r="W95" s="137"/>
      <c r="Z95" s="58"/>
    </row>
    <row r="96" spans="1:26" ht="15.75" customHeight="1" x14ac:dyDescent="0.3">
      <c r="A96" s="26"/>
      <c r="B96" s="140"/>
      <c r="C96" s="107" t="s">
        <v>68</v>
      </c>
      <c r="D96" s="180"/>
      <c r="E96" s="217">
        <v>0</v>
      </c>
      <c r="F96" s="214"/>
      <c r="G96" s="49"/>
      <c r="H96" s="30"/>
      <c r="I96" s="30"/>
      <c r="J96" s="180"/>
      <c r="K96" s="166"/>
      <c r="L96" s="30"/>
      <c r="M96" s="115"/>
      <c r="N96" s="180"/>
      <c r="O96" s="155"/>
      <c r="P96" s="30"/>
      <c r="Q96" s="115"/>
      <c r="R96" s="184"/>
      <c r="S96" s="169"/>
      <c r="T96" s="115">
        <v>1300</v>
      </c>
      <c r="U96" s="190"/>
      <c r="W96" s="137"/>
      <c r="Z96" s="58"/>
    </row>
    <row r="97" spans="1:26" ht="15.75" customHeight="1" x14ac:dyDescent="0.3">
      <c r="A97" s="26"/>
      <c r="B97" s="140"/>
      <c r="C97" s="107" t="s">
        <v>69</v>
      </c>
      <c r="D97" s="180"/>
      <c r="E97" s="217">
        <v>0</v>
      </c>
      <c r="F97" s="214"/>
      <c r="G97" s="49"/>
      <c r="H97" s="30"/>
      <c r="I97" s="30"/>
      <c r="J97" s="180"/>
      <c r="K97" s="166"/>
      <c r="L97" s="30"/>
      <c r="M97" s="115"/>
      <c r="N97" s="180"/>
      <c r="O97" s="155"/>
      <c r="P97" s="30"/>
      <c r="Q97" s="115"/>
      <c r="R97" s="184"/>
      <c r="S97" s="169"/>
      <c r="T97" s="115">
        <v>2350</v>
      </c>
      <c r="U97" s="190"/>
      <c r="W97" s="137"/>
      <c r="Z97" s="58"/>
    </row>
    <row r="98" spans="1:26" ht="15.75" customHeight="1" x14ac:dyDescent="0.3">
      <c r="A98" s="26"/>
      <c r="B98" s="140"/>
      <c r="C98" s="107" t="s">
        <v>60</v>
      </c>
      <c r="D98" s="180"/>
      <c r="E98" s="216">
        <f>SUM(Data!FB14:FM14)</f>
        <v>79.989999999999995</v>
      </c>
      <c r="F98" s="214"/>
      <c r="G98" s="49"/>
      <c r="H98" s="30"/>
      <c r="I98" s="30"/>
      <c r="J98" s="180"/>
      <c r="K98" s="166"/>
      <c r="L98" s="30"/>
      <c r="M98" s="115"/>
      <c r="N98" s="180"/>
      <c r="O98" s="155"/>
      <c r="P98" s="30"/>
      <c r="Q98" s="115"/>
      <c r="R98" s="184"/>
      <c r="S98" s="169"/>
      <c r="T98" s="115">
        <v>0</v>
      </c>
      <c r="U98" s="190"/>
      <c r="W98" s="137"/>
      <c r="Z98" s="58"/>
    </row>
    <row r="99" spans="1:26" ht="15.75" customHeight="1" x14ac:dyDescent="0.3">
      <c r="A99" s="26"/>
      <c r="B99" s="140"/>
      <c r="C99" s="107" t="s">
        <v>70</v>
      </c>
      <c r="D99" s="180"/>
      <c r="E99" s="217">
        <v>0</v>
      </c>
      <c r="F99" s="214"/>
      <c r="G99" s="49"/>
      <c r="H99" s="30"/>
      <c r="I99" s="30"/>
      <c r="J99" s="180"/>
      <c r="K99" s="166"/>
      <c r="L99" s="30"/>
      <c r="M99" s="115"/>
      <c r="N99" s="180"/>
      <c r="O99" s="155"/>
      <c r="P99" s="30"/>
      <c r="Q99" s="115"/>
      <c r="R99" s="184"/>
      <c r="S99" s="169"/>
      <c r="T99" s="131">
        <v>-1750</v>
      </c>
      <c r="U99" s="190"/>
      <c r="W99" s="137"/>
      <c r="Z99" s="58"/>
    </row>
    <row r="100" spans="1:26" ht="15.75" customHeight="1" x14ac:dyDescent="0.35">
      <c r="A100" s="26"/>
      <c r="B100" s="140"/>
      <c r="C100" s="107" t="s">
        <v>62</v>
      </c>
      <c r="D100" s="180"/>
      <c r="E100" s="216">
        <f>E94+E95-E98</f>
        <v>6120.43</v>
      </c>
      <c r="F100" s="214"/>
      <c r="G100" s="49"/>
      <c r="H100" s="30"/>
      <c r="I100" s="30"/>
      <c r="J100" s="180"/>
      <c r="K100" s="166"/>
      <c r="L100" s="30"/>
      <c r="M100" s="115">
        <v>3119.41</v>
      </c>
      <c r="N100" s="180"/>
      <c r="O100" s="155"/>
      <c r="P100" s="30"/>
      <c r="Q100" s="115"/>
      <c r="R100" s="184"/>
      <c r="S100" s="169"/>
      <c r="T100" s="143">
        <v>3912.83</v>
      </c>
      <c r="U100" s="190"/>
      <c r="W100" s="137"/>
      <c r="Z100" s="58"/>
    </row>
    <row r="101" spans="1:26" ht="15.75" customHeight="1" x14ac:dyDescent="0.3">
      <c r="A101" s="57" t="s">
        <v>71</v>
      </c>
      <c r="B101" s="198"/>
      <c r="C101" s="107"/>
      <c r="D101" s="180"/>
      <c r="E101" s="216"/>
      <c r="F101" s="214"/>
      <c r="G101" s="49"/>
      <c r="H101" s="30"/>
      <c r="I101" s="30"/>
      <c r="J101" s="180"/>
      <c r="K101" s="166"/>
      <c r="L101" s="30"/>
      <c r="M101" s="115"/>
      <c r="N101" s="180"/>
      <c r="O101" s="155"/>
      <c r="P101" s="30"/>
      <c r="Q101" s="115"/>
      <c r="R101" s="184"/>
      <c r="S101" s="169"/>
      <c r="T101" s="115"/>
      <c r="U101" s="190"/>
      <c r="W101" s="137"/>
      <c r="Z101" s="58"/>
    </row>
    <row r="102" spans="1:26" ht="15.75" customHeight="1" x14ac:dyDescent="0.2">
      <c r="A102" s="26"/>
      <c r="B102" s="140"/>
      <c r="C102" s="107" t="s">
        <v>54</v>
      </c>
      <c r="D102" s="180"/>
      <c r="E102" s="218">
        <v>2044.72</v>
      </c>
      <c r="F102" s="214"/>
      <c r="G102" s="49"/>
      <c r="H102" s="30"/>
      <c r="I102" s="30"/>
      <c r="J102" s="180"/>
      <c r="K102" s="166"/>
      <c r="L102" s="30"/>
      <c r="M102" s="115"/>
      <c r="N102" s="180"/>
      <c r="O102" s="155"/>
      <c r="P102" s="30"/>
      <c r="Q102" s="115"/>
      <c r="R102" s="184"/>
      <c r="S102" s="169"/>
      <c r="T102" s="115">
        <v>1.69</v>
      </c>
      <c r="U102" s="190"/>
      <c r="W102" s="137">
        <v>991.02</v>
      </c>
      <c r="Z102" s="58">
        <v>991.02</v>
      </c>
    </row>
    <row r="103" spans="1:26" ht="15.75" customHeight="1" x14ac:dyDescent="0.3">
      <c r="A103" s="26"/>
      <c r="B103" s="140"/>
      <c r="C103" s="107" t="s">
        <v>100</v>
      </c>
      <c r="D103" s="180"/>
      <c r="E103" s="217">
        <v>0</v>
      </c>
      <c r="F103" s="214"/>
      <c r="G103" s="49"/>
      <c r="H103" s="30"/>
      <c r="I103" s="30"/>
      <c r="J103" s="180"/>
      <c r="K103" s="166"/>
      <c r="L103" s="30"/>
      <c r="M103" s="115"/>
      <c r="N103" s="180"/>
      <c r="O103" s="155"/>
      <c r="P103" s="30"/>
      <c r="Q103" s="115"/>
      <c r="R103" s="184"/>
      <c r="S103" s="169"/>
      <c r="T103" s="115"/>
      <c r="U103" s="190"/>
      <c r="W103" s="137">
        <v>10</v>
      </c>
      <c r="Z103" s="58">
        <v>10</v>
      </c>
    </row>
    <row r="104" spans="1:26" ht="15.75" customHeight="1" x14ac:dyDescent="0.3">
      <c r="A104" s="26"/>
      <c r="B104" s="140"/>
      <c r="C104" s="107" t="s">
        <v>55</v>
      </c>
      <c r="D104" s="180"/>
      <c r="E104" s="217">
        <f>SUM(Data!FB18:FM18)</f>
        <v>12292</v>
      </c>
      <c r="F104" s="214"/>
      <c r="G104" s="49"/>
      <c r="H104" s="30"/>
      <c r="I104" s="30"/>
      <c r="J104" s="180"/>
      <c r="K104" s="166"/>
      <c r="L104" s="30"/>
      <c r="M104" s="115"/>
      <c r="N104" s="180"/>
      <c r="O104" s="155"/>
      <c r="P104" s="30"/>
      <c r="Q104" s="115"/>
      <c r="R104" s="180"/>
      <c r="S104" s="169"/>
      <c r="T104" s="115">
        <v>10761</v>
      </c>
      <c r="U104" s="194"/>
      <c r="W104" s="137">
        <v>10552</v>
      </c>
      <c r="Z104" s="58">
        <v>10552</v>
      </c>
    </row>
    <row r="105" spans="1:26" ht="15.75" customHeight="1" x14ac:dyDescent="0.3">
      <c r="A105" s="26"/>
      <c r="B105" s="140"/>
      <c r="C105" s="107" t="s">
        <v>72</v>
      </c>
      <c r="D105" s="180"/>
      <c r="E105" s="217">
        <v>2475</v>
      </c>
      <c r="F105" s="214"/>
      <c r="G105" s="49"/>
      <c r="H105" s="30"/>
      <c r="I105" s="30"/>
      <c r="J105" s="180"/>
      <c r="K105" s="166"/>
      <c r="L105" s="30"/>
      <c r="M105" s="115"/>
      <c r="N105" s="180"/>
      <c r="O105" s="155"/>
      <c r="P105" s="30"/>
      <c r="Q105" s="115"/>
      <c r="R105" s="180"/>
      <c r="S105" s="169"/>
      <c r="T105" s="115">
        <v>0</v>
      </c>
      <c r="U105" s="194"/>
      <c r="W105" s="137">
        <v>2350</v>
      </c>
      <c r="Z105" s="58">
        <v>2350</v>
      </c>
    </row>
    <row r="106" spans="1:26" ht="15.75" customHeight="1" x14ac:dyDescent="0.3">
      <c r="A106" s="26"/>
      <c r="B106" s="140"/>
      <c r="C106" s="107" t="s">
        <v>60</v>
      </c>
      <c r="D106" s="180"/>
      <c r="E106" s="216">
        <f>SUM(Data!FB19:FM19)</f>
        <v>9066.9</v>
      </c>
      <c r="F106" s="214"/>
      <c r="G106" s="49"/>
      <c r="H106" s="30"/>
      <c r="I106" s="30"/>
      <c r="J106" s="180"/>
      <c r="K106" s="166"/>
      <c r="L106" s="30"/>
      <c r="M106" s="115"/>
      <c r="N106" s="180"/>
      <c r="O106" s="155"/>
      <c r="P106" s="30"/>
      <c r="Q106" s="115"/>
      <c r="R106" s="180"/>
      <c r="S106" s="169"/>
      <c r="T106" s="115">
        <v>-5599.46</v>
      </c>
      <c r="U106" s="194"/>
      <c r="W106" s="137">
        <v>0</v>
      </c>
      <c r="Z106" s="58">
        <v>-11199.15</v>
      </c>
    </row>
    <row r="107" spans="1:26" ht="15.75" customHeight="1" x14ac:dyDescent="0.3">
      <c r="A107" s="26"/>
      <c r="B107" s="140"/>
      <c r="C107" s="107" t="s">
        <v>70</v>
      </c>
      <c r="D107" s="180"/>
      <c r="E107" s="217">
        <v>0</v>
      </c>
      <c r="F107" s="214"/>
      <c r="G107" s="49"/>
      <c r="H107" s="30"/>
      <c r="I107" s="30"/>
      <c r="J107" s="180"/>
      <c r="K107" s="166"/>
      <c r="L107" s="30"/>
      <c r="M107" s="115"/>
      <c r="N107" s="180"/>
      <c r="O107" s="155"/>
      <c r="P107" s="30"/>
      <c r="Q107" s="115"/>
      <c r="R107" s="180"/>
      <c r="S107" s="169"/>
      <c r="T107" s="131">
        <v>-5161.95</v>
      </c>
      <c r="U107" s="194"/>
      <c r="W107" s="137">
        <v>-11199.15</v>
      </c>
      <c r="Z107" s="58">
        <v>-2350</v>
      </c>
    </row>
    <row r="108" spans="1:26" ht="15.75" customHeight="1" x14ac:dyDescent="0.35">
      <c r="C108" s="107" t="s">
        <v>62</v>
      </c>
      <c r="D108" s="180"/>
      <c r="E108" s="218">
        <f>E102+E104-E105-E106</f>
        <v>2794.8199999999997</v>
      </c>
      <c r="F108" s="214"/>
      <c r="G108" s="49"/>
      <c r="I108" s="58"/>
      <c r="J108" s="180"/>
      <c r="K108" s="167"/>
      <c r="M108" s="129">
        <v>1297.53</v>
      </c>
      <c r="N108" s="180"/>
      <c r="O108" s="155"/>
      <c r="S108" s="169"/>
      <c r="T108" s="143">
        <v>1.2800000000006548</v>
      </c>
      <c r="W108" s="139">
        <v>-2350</v>
      </c>
      <c r="Z108" s="58">
        <f>SUM(Z102:Z107)</f>
        <v>353.8700000000008</v>
      </c>
    </row>
    <row r="109" spans="1:26" ht="15.75" customHeight="1" x14ac:dyDescent="0.2">
      <c r="E109" s="104"/>
      <c r="F109" s="215"/>
      <c r="I109" s="58"/>
      <c r="K109" s="167"/>
      <c r="W109" s="137">
        <v>353.8700000000008</v>
      </c>
    </row>
    <row r="110" spans="1:26" ht="15.75" customHeight="1" x14ac:dyDescent="0.2">
      <c r="E110" s="104"/>
      <c r="F110" s="215"/>
      <c r="I110" s="58"/>
      <c r="K110" s="167"/>
    </row>
    <row r="111" spans="1:26" ht="15.75" customHeight="1" x14ac:dyDescent="0.2">
      <c r="E111" s="104"/>
      <c r="F111" s="215"/>
      <c r="I111" s="58"/>
      <c r="K111" s="167"/>
    </row>
    <row r="112" spans="1:26" ht="15.75" customHeight="1" x14ac:dyDescent="0.2">
      <c r="C112" s="111" t="s">
        <v>138</v>
      </c>
      <c r="E112" s="104"/>
      <c r="F112" s="215"/>
      <c r="I112" s="58"/>
      <c r="K112" s="167"/>
    </row>
    <row r="113" spans="1:11" ht="15.75" customHeight="1" x14ac:dyDescent="0.2">
      <c r="C113" s="111" t="s">
        <v>139</v>
      </c>
      <c r="E113" s="104"/>
      <c r="F113" s="215"/>
      <c r="I113" s="58"/>
      <c r="K113" s="167"/>
    </row>
    <row r="114" spans="1:11" ht="15.75" customHeight="1" x14ac:dyDescent="0.2">
      <c r="E114" s="104"/>
      <c r="F114" s="215"/>
      <c r="I114" s="58"/>
      <c r="K114" s="167"/>
    </row>
    <row r="115" spans="1:11" ht="15.75" customHeight="1" x14ac:dyDescent="0.2">
      <c r="E115" s="104"/>
      <c r="F115" s="215"/>
      <c r="I115" s="58"/>
      <c r="K115" s="167"/>
    </row>
    <row r="116" spans="1:11" ht="15.75" customHeight="1" x14ac:dyDescent="0.2">
      <c r="E116" s="104"/>
      <c r="F116" s="215"/>
      <c r="I116" s="58"/>
      <c r="K116" s="167"/>
    </row>
    <row r="117" spans="1:11" ht="15.75" customHeight="1" x14ac:dyDescent="0.2">
      <c r="C117" s="112"/>
      <c r="E117" s="104"/>
      <c r="F117" s="215"/>
      <c r="I117" s="58"/>
      <c r="K117" s="167"/>
    </row>
    <row r="118" spans="1:11" ht="15.75" customHeight="1" x14ac:dyDescent="0.2">
      <c r="E118" s="104"/>
      <c r="F118" s="215"/>
      <c r="I118" s="58"/>
      <c r="K118" s="167"/>
    </row>
    <row r="119" spans="1:11" ht="15.75" customHeight="1" x14ac:dyDescent="0.25">
      <c r="C119" s="113" t="s">
        <v>158</v>
      </c>
      <c r="E119" s="104"/>
      <c r="F119" s="215"/>
      <c r="I119" s="58"/>
      <c r="K119" s="167"/>
    </row>
    <row r="120" spans="1:11" ht="15.75" customHeight="1" x14ac:dyDescent="0.25">
      <c r="A120" s="104"/>
      <c r="B120" s="199"/>
      <c r="C120" s="114" t="s">
        <v>153</v>
      </c>
      <c r="D120" s="183">
        <v>856</v>
      </c>
      <c r="E120" s="104"/>
      <c r="F120" s="215"/>
      <c r="G120" s="104">
        <f>(H120/12)*12</f>
        <v>856</v>
      </c>
      <c r="H120" s="104">
        <v>856</v>
      </c>
      <c r="I120" s="58"/>
      <c r="K120" s="167"/>
    </row>
    <row r="121" spans="1:11" ht="15.75" customHeight="1" x14ac:dyDescent="0.25">
      <c r="A121" s="104"/>
      <c r="B121" s="199"/>
      <c r="C121" s="114" t="s">
        <v>154</v>
      </c>
      <c r="D121" s="183">
        <v>428</v>
      </c>
      <c r="E121" s="104"/>
      <c r="F121" s="215"/>
      <c r="G121" s="104">
        <f>(H121/12)*12</f>
        <v>428</v>
      </c>
      <c r="H121" s="104">
        <v>428</v>
      </c>
      <c r="I121" s="58"/>
      <c r="K121" s="167"/>
    </row>
    <row r="122" spans="1:11" ht="15.75" customHeight="1" x14ac:dyDescent="0.25">
      <c r="A122" s="104"/>
      <c r="B122" s="199"/>
      <c r="C122" s="114" t="s">
        <v>155</v>
      </c>
      <c r="D122" s="183">
        <v>2284</v>
      </c>
      <c r="E122" s="104"/>
      <c r="F122" s="215"/>
      <c r="G122" s="104">
        <f>(H122/12)*12</f>
        <v>2284</v>
      </c>
      <c r="H122" s="104">
        <v>2284</v>
      </c>
      <c r="I122" s="58"/>
      <c r="K122" s="167"/>
    </row>
    <row r="123" spans="1:11" ht="15.75" customHeight="1" x14ac:dyDescent="0.25">
      <c r="A123" s="104"/>
      <c r="B123" s="199"/>
      <c r="C123" s="114" t="s">
        <v>156</v>
      </c>
      <c r="D123" s="183">
        <v>10324</v>
      </c>
      <c r="E123" s="104"/>
      <c r="F123" s="215"/>
      <c r="G123" s="104">
        <f>(H123/12)*12</f>
        <v>10324</v>
      </c>
      <c r="H123" s="104">
        <v>10324</v>
      </c>
      <c r="I123" s="58"/>
      <c r="K123" s="167"/>
    </row>
    <row r="124" spans="1:11" ht="15.75" customHeight="1" x14ac:dyDescent="0.25">
      <c r="A124" s="104"/>
      <c r="B124" s="199"/>
      <c r="C124" s="114" t="s">
        <v>157</v>
      </c>
      <c r="E124" s="104"/>
      <c r="F124" s="215"/>
      <c r="G124" s="104">
        <f>(H124/12)*12</f>
        <v>175</v>
      </c>
      <c r="H124" s="104">
        <v>175</v>
      </c>
      <c r="I124" s="58"/>
      <c r="K124" s="167"/>
    </row>
    <row r="125" spans="1:11" ht="15.75" customHeight="1" x14ac:dyDescent="0.2">
      <c r="E125" s="59">
        <f>981.92*12</f>
        <v>11783.039999999999</v>
      </c>
      <c r="F125" s="215"/>
      <c r="G125" s="104">
        <f>G120+G121+G124+G123</f>
        <v>11783</v>
      </c>
      <c r="I125" s="58"/>
      <c r="K125" s="167"/>
    </row>
    <row r="126" spans="1:11" ht="15.75" customHeight="1" x14ac:dyDescent="0.2">
      <c r="E126" s="104"/>
      <c r="F126" s="215"/>
      <c r="I126" s="58"/>
      <c r="K126" s="167"/>
    </row>
    <row r="127" spans="1:11" ht="15.75" customHeight="1" x14ac:dyDescent="0.2">
      <c r="E127" s="104"/>
      <c r="F127" s="215"/>
      <c r="I127" s="58"/>
      <c r="K127" s="167"/>
    </row>
    <row r="128" spans="1:11" ht="15.75" customHeight="1" x14ac:dyDescent="0.2">
      <c r="E128" s="104"/>
      <c r="F128" s="215"/>
      <c r="I128" s="58"/>
      <c r="K128" s="167"/>
    </row>
    <row r="129" spans="5:11" ht="15.75" customHeight="1" x14ac:dyDescent="0.2">
      <c r="E129" s="104"/>
      <c r="F129" s="215"/>
      <c r="I129" s="58"/>
      <c r="K129" s="167"/>
    </row>
    <row r="130" spans="5:11" ht="15.75" customHeight="1" x14ac:dyDescent="0.2">
      <c r="E130" s="104"/>
      <c r="F130" s="215"/>
      <c r="I130" s="58"/>
      <c r="K130" s="167"/>
    </row>
    <row r="131" spans="5:11" ht="15.75" customHeight="1" x14ac:dyDescent="0.2">
      <c r="E131" s="104"/>
      <c r="F131" s="215"/>
      <c r="I131" s="58"/>
      <c r="K131" s="167"/>
    </row>
    <row r="132" spans="5:11" ht="15.75" customHeight="1" x14ac:dyDescent="0.2">
      <c r="E132" s="104"/>
      <c r="F132" s="215"/>
      <c r="I132" s="58"/>
      <c r="K132" s="167"/>
    </row>
    <row r="133" spans="5:11" ht="15.75" customHeight="1" x14ac:dyDescent="0.2">
      <c r="E133" s="104"/>
      <c r="F133" s="215"/>
      <c r="I133" s="58"/>
      <c r="K133" s="167"/>
    </row>
    <row r="134" spans="5:11" ht="15.75" customHeight="1" x14ac:dyDescent="0.2">
      <c r="E134" s="104"/>
      <c r="F134" s="215"/>
      <c r="I134" s="58"/>
      <c r="K134" s="167"/>
    </row>
    <row r="135" spans="5:11" ht="15.75" customHeight="1" x14ac:dyDescent="0.2">
      <c r="E135" s="104"/>
      <c r="F135" s="215"/>
      <c r="I135" s="58"/>
      <c r="K135" s="167"/>
    </row>
    <row r="136" spans="5:11" ht="15.75" customHeight="1" x14ac:dyDescent="0.2">
      <c r="E136" s="104"/>
      <c r="F136" s="215"/>
      <c r="I136" s="58"/>
      <c r="K136" s="167"/>
    </row>
    <row r="137" spans="5:11" ht="15.75" customHeight="1" x14ac:dyDescent="0.2">
      <c r="E137" s="104"/>
      <c r="F137" s="215"/>
      <c r="I137" s="58"/>
      <c r="K137" s="167"/>
    </row>
    <row r="138" spans="5:11" ht="15.75" customHeight="1" x14ac:dyDescent="0.2">
      <c r="E138" s="104"/>
      <c r="F138" s="215"/>
      <c r="I138" s="58"/>
      <c r="K138" s="167"/>
    </row>
    <row r="139" spans="5:11" ht="15.75" customHeight="1" x14ac:dyDescent="0.2">
      <c r="E139" s="104"/>
      <c r="F139" s="215"/>
      <c r="I139" s="58"/>
      <c r="K139" s="167"/>
    </row>
    <row r="140" spans="5:11" ht="15.75" customHeight="1" x14ac:dyDescent="0.2">
      <c r="E140" s="104"/>
      <c r="F140" s="215"/>
      <c r="I140" s="58"/>
      <c r="K140" s="167"/>
    </row>
    <row r="141" spans="5:11" ht="15.75" customHeight="1" x14ac:dyDescent="0.2">
      <c r="E141" s="104"/>
      <c r="F141" s="215"/>
      <c r="I141" s="58"/>
      <c r="K141" s="167"/>
    </row>
    <row r="142" spans="5:11" ht="15.75" customHeight="1" x14ac:dyDescent="0.2">
      <c r="E142" s="104"/>
      <c r="F142" s="215"/>
      <c r="I142" s="58"/>
      <c r="K142" s="167"/>
    </row>
    <row r="143" spans="5:11" ht="15.75" customHeight="1" x14ac:dyDescent="0.2">
      <c r="E143" s="104"/>
      <c r="F143" s="215"/>
      <c r="I143" s="58"/>
      <c r="K143" s="167"/>
    </row>
    <row r="144" spans="5:11" ht="15.75" customHeight="1" x14ac:dyDescent="0.2">
      <c r="K144" s="167"/>
    </row>
    <row r="145" spans="11:11" ht="15.75" customHeight="1" x14ac:dyDescent="0.2">
      <c r="K145" s="167"/>
    </row>
    <row r="146" spans="11:11" ht="15.75" customHeight="1" x14ac:dyDescent="0.2">
      <c r="K146" s="167"/>
    </row>
    <row r="147" spans="11:11" ht="15.75" customHeight="1" x14ac:dyDescent="0.2">
      <c r="K147" s="167"/>
    </row>
    <row r="148" spans="11:11" ht="15.75" customHeight="1" x14ac:dyDescent="0.2">
      <c r="K148" s="167"/>
    </row>
    <row r="149" spans="11:11" ht="15.75" customHeight="1" x14ac:dyDescent="0.2">
      <c r="K149" s="167"/>
    </row>
    <row r="150" spans="11:11" ht="15.75" customHeight="1" x14ac:dyDescent="0.2">
      <c r="K150" s="167"/>
    </row>
    <row r="151" spans="11:11" ht="15.75" customHeight="1" x14ac:dyDescent="0.2">
      <c r="K151" s="167"/>
    </row>
    <row r="152" spans="11:11" ht="15.75" customHeight="1" x14ac:dyDescent="0.2">
      <c r="K152" s="167"/>
    </row>
    <row r="153" spans="11:11" ht="15.75" customHeight="1" x14ac:dyDescent="0.2">
      <c r="K153" s="167"/>
    </row>
    <row r="154" spans="11:11" ht="15.75" customHeight="1" x14ac:dyDescent="0.2">
      <c r="K154" s="167"/>
    </row>
    <row r="155" spans="11:11" ht="15.75" customHeight="1" x14ac:dyDescent="0.2">
      <c r="K155" s="167"/>
    </row>
    <row r="156" spans="11:11" ht="15.75" customHeight="1" x14ac:dyDescent="0.2">
      <c r="K156" s="167"/>
    </row>
    <row r="157" spans="11:11" ht="15.75" customHeight="1" x14ac:dyDescent="0.2">
      <c r="K157" s="167"/>
    </row>
    <row r="158" spans="11:11" ht="15.75" customHeight="1" x14ac:dyDescent="0.2">
      <c r="K158" s="167"/>
    </row>
    <row r="159" spans="11:11" ht="15.75" customHeight="1" x14ac:dyDescent="0.2">
      <c r="K159" s="167"/>
    </row>
    <row r="160" spans="11:11" ht="15.75" customHeight="1" x14ac:dyDescent="0.2">
      <c r="K160" s="167"/>
    </row>
    <row r="161" spans="11:11" ht="15.75" customHeight="1" x14ac:dyDescent="0.2">
      <c r="K161" s="167"/>
    </row>
    <row r="162" spans="11:11" ht="15.75" customHeight="1" x14ac:dyDescent="0.2">
      <c r="K162" s="167"/>
    </row>
    <row r="163" spans="11:11" ht="15.75" customHeight="1" x14ac:dyDescent="0.2">
      <c r="K163" s="167"/>
    </row>
    <row r="164" spans="11:11" ht="15.75" customHeight="1" x14ac:dyDescent="0.2">
      <c r="K164" s="167"/>
    </row>
    <row r="165" spans="11:11" ht="15.75" customHeight="1" x14ac:dyDescent="0.2">
      <c r="K165" s="167"/>
    </row>
    <row r="166" spans="11:11" ht="15.75" customHeight="1" x14ac:dyDescent="0.2">
      <c r="K166" s="167"/>
    </row>
    <row r="167" spans="11:11" ht="15.75" customHeight="1" x14ac:dyDescent="0.2">
      <c r="K167" s="167"/>
    </row>
    <row r="168" spans="11:11" ht="15.75" customHeight="1" x14ac:dyDescent="0.2">
      <c r="K168" s="167"/>
    </row>
    <row r="169" spans="11:11" ht="15.75" customHeight="1" x14ac:dyDescent="0.2">
      <c r="K169" s="167"/>
    </row>
    <row r="170" spans="11:11" ht="15.75" customHeight="1" x14ac:dyDescent="0.2">
      <c r="K170" s="167"/>
    </row>
    <row r="171" spans="11:11" ht="15.75" customHeight="1" x14ac:dyDescent="0.2">
      <c r="K171" s="167"/>
    </row>
    <row r="172" spans="11:11" ht="15.75" customHeight="1" x14ac:dyDescent="0.2">
      <c r="K172" s="167"/>
    </row>
    <row r="173" spans="11:11" ht="15.75" customHeight="1" x14ac:dyDescent="0.2">
      <c r="K173" s="167"/>
    </row>
    <row r="174" spans="11:11" ht="15.75" customHeight="1" x14ac:dyDescent="0.2">
      <c r="K174" s="167"/>
    </row>
    <row r="175" spans="11:11" ht="15.75" customHeight="1" x14ac:dyDescent="0.2">
      <c r="K175" s="167"/>
    </row>
    <row r="176" spans="11:11" ht="15.75" customHeight="1" x14ac:dyDescent="0.2">
      <c r="K176" s="167"/>
    </row>
    <row r="177" spans="11:11" ht="15.75" customHeight="1" x14ac:dyDescent="0.2">
      <c r="K177" s="167"/>
    </row>
    <row r="178" spans="11:11" ht="15.75" customHeight="1" x14ac:dyDescent="0.2">
      <c r="K178" s="167"/>
    </row>
    <row r="179" spans="11:11" ht="15.75" customHeight="1" x14ac:dyDescent="0.2">
      <c r="K179" s="167"/>
    </row>
    <row r="180" spans="11:11" ht="15.75" customHeight="1" x14ac:dyDescent="0.2">
      <c r="K180" s="167"/>
    </row>
    <row r="181" spans="11:11" ht="15.75" customHeight="1" x14ac:dyDescent="0.2">
      <c r="K181" s="167"/>
    </row>
    <row r="182" spans="11:11" ht="15.75" customHeight="1" x14ac:dyDescent="0.2">
      <c r="K182" s="167"/>
    </row>
    <row r="183" spans="11:11" ht="15.75" customHeight="1" x14ac:dyDescent="0.2">
      <c r="K183" s="167"/>
    </row>
    <row r="184" spans="11:11" ht="15.75" customHeight="1" x14ac:dyDescent="0.2">
      <c r="K184" s="167"/>
    </row>
    <row r="185" spans="11:11" ht="15.75" customHeight="1" x14ac:dyDescent="0.2">
      <c r="K185" s="167"/>
    </row>
    <row r="186" spans="11:11" ht="15.75" customHeight="1" x14ac:dyDescent="0.2">
      <c r="K186" s="167"/>
    </row>
    <row r="187" spans="11:11" ht="15.75" customHeight="1" x14ac:dyDescent="0.2">
      <c r="K187" s="167"/>
    </row>
    <row r="188" spans="11:11" ht="15.75" customHeight="1" x14ac:dyDescent="0.2">
      <c r="K188" s="167"/>
    </row>
    <row r="189" spans="11:11" ht="15.75" customHeight="1" x14ac:dyDescent="0.2">
      <c r="K189" s="167"/>
    </row>
    <row r="190" spans="11:11" ht="15.75" customHeight="1" x14ac:dyDescent="0.2">
      <c r="K190" s="167"/>
    </row>
    <row r="191" spans="11:11" ht="15.75" customHeight="1" x14ac:dyDescent="0.2">
      <c r="K191" s="167"/>
    </row>
    <row r="192" spans="11:11" ht="15.75" customHeight="1" x14ac:dyDescent="0.2">
      <c r="K192" s="167"/>
    </row>
    <row r="193" spans="11:11" ht="15.75" customHeight="1" x14ac:dyDescent="0.2">
      <c r="K193" s="167"/>
    </row>
    <row r="194" spans="11:11" ht="15.75" customHeight="1" x14ac:dyDescent="0.2">
      <c r="K194" s="167"/>
    </row>
    <row r="195" spans="11:11" ht="15.75" customHeight="1" x14ac:dyDescent="0.2">
      <c r="K195" s="167"/>
    </row>
    <row r="196" spans="11:11" ht="15.75" customHeight="1" x14ac:dyDescent="0.2">
      <c r="K196" s="167"/>
    </row>
    <row r="197" spans="11:11" ht="15.75" customHeight="1" x14ac:dyDescent="0.2">
      <c r="K197" s="167"/>
    </row>
    <row r="198" spans="11:11" ht="15.75" customHeight="1" x14ac:dyDescent="0.2">
      <c r="K198" s="167"/>
    </row>
    <row r="199" spans="11:11" ht="15.75" customHeight="1" x14ac:dyDescent="0.2">
      <c r="K199" s="167"/>
    </row>
    <row r="200" spans="11:11" ht="15.75" customHeight="1" x14ac:dyDescent="0.2">
      <c r="K200" s="167"/>
    </row>
    <row r="201" spans="11:11" ht="15.75" customHeight="1" x14ac:dyDescent="0.2">
      <c r="K201" s="167"/>
    </row>
    <row r="202" spans="11:11" ht="15.75" customHeight="1" x14ac:dyDescent="0.2">
      <c r="K202" s="167"/>
    </row>
    <row r="203" spans="11:11" ht="15.75" customHeight="1" x14ac:dyDescent="0.2">
      <c r="K203" s="167"/>
    </row>
    <row r="204" spans="11:11" ht="15.75" customHeight="1" x14ac:dyDescent="0.2">
      <c r="K204" s="167"/>
    </row>
    <row r="205" spans="11:11" ht="15.75" customHeight="1" x14ac:dyDescent="0.2">
      <c r="K205" s="167"/>
    </row>
    <row r="206" spans="11:11" ht="15.75" customHeight="1" x14ac:dyDescent="0.2">
      <c r="K206" s="167"/>
    </row>
    <row r="207" spans="11:11" ht="15.75" customHeight="1" x14ac:dyDescent="0.2">
      <c r="K207" s="167"/>
    </row>
    <row r="208" spans="11:11" ht="15.75" customHeight="1" x14ac:dyDescent="0.2">
      <c r="K208" s="167"/>
    </row>
    <row r="209" spans="11:11" ht="15.75" customHeight="1" x14ac:dyDescent="0.2">
      <c r="K209" s="167"/>
    </row>
    <row r="210" spans="11:11" ht="15.75" customHeight="1" x14ac:dyDescent="0.2">
      <c r="K210" s="167"/>
    </row>
    <row r="211" spans="11:11" ht="15.75" customHeight="1" x14ac:dyDescent="0.2">
      <c r="K211" s="167"/>
    </row>
    <row r="212" spans="11:11" ht="15.75" customHeight="1" x14ac:dyDescent="0.2">
      <c r="K212" s="167"/>
    </row>
    <row r="213" spans="11:11" ht="15.75" customHeight="1" x14ac:dyDescent="0.2">
      <c r="K213" s="167"/>
    </row>
    <row r="214" spans="11:11" ht="15.75" customHeight="1" x14ac:dyDescent="0.2">
      <c r="K214" s="167"/>
    </row>
    <row r="215" spans="11:11" ht="15.75" customHeight="1" x14ac:dyDescent="0.2">
      <c r="K215" s="167"/>
    </row>
    <row r="216" spans="11:11" ht="15.75" customHeight="1" x14ac:dyDescent="0.2">
      <c r="K216" s="167"/>
    </row>
    <row r="217" spans="11:11" ht="15.75" customHeight="1" x14ac:dyDescent="0.2">
      <c r="K217" s="167"/>
    </row>
    <row r="218" spans="11:11" ht="15.75" customHeight="1" x14ac:dyDescent="0.2">
      <c r="K218" s="167"/>
    </row>
    <row r="219" spans="11:11" ht="15.75" customHeight="1" x14ac:dyDescent="0.2">
      <c r="K219" s="167"/>
    </row>
    <row r="220" spans="11:11" ht="15.75" customHeight="1" x14ac:dyDescent="0.2">
      <c r="K220" s="167"/>
    </row>
    <row r="221" spans="11:11" ht="15.75" customHeight="1" x14ac:dyDescent="0.2">
      <c r="K221" s="167"/>
    </row>
    <row r="222" spans="11:11" ht="15.75" customHeight="1" x14ac:dyDescent="0.2">
      <c r="K222" s="167"/>
    </row>
    <row r="223" spans="11:11" ht="15.75" customHeight="1" x14ac:dyDescent="0.2">
      <c r="K223" s="167"/>
    </row>
    <row r="224" spans="11:11" ht="15.75" customHeight="1" x14ac:dyDescent="0.2">
      <c r="K224" s="167"/>
    </row>
    <row r="225" spans="11:11" ht="15.75" customHeight="1" x14ac:dyDescent="0.2">
      <c r="K225" s="167"/>
    </row>
    <row r="226" spans="11:11" ht="15.75" customHeight="1" x14ac:dyDescent="0.2">
      <c r="K226" s="167"/>
    </row>
    <row r="227" spans="11:11" ht="15.75" customHeight="1" x14ac:dyDescent="0.2">
      <c r="K227" s="167"/>
    </row>
    <row r="228" spans="11:11" ht="15.75" customHeight="1" x14ac:dyDescent="0.2">
      <c r="K228" s="167"/>
    </row>
    <row r="229" spans="11:11" ht="15.75" customHeight="1" x14ac:dyDescent="0.2">
      <c r="K229" s="167"/>
    </row>
    <row r="230" spans="11:11" ht="15.75" customHeight="1" x14ac:dyDescent="0.2">
      <c r="K230" s="167"/>
    </row>
    <row r="231" spans="11:11" ht="15.75" customHeight="1" x14ac:dyDescent="0.2">
      <c r="K231" s="167"/>
    </row>
    <row r="232" spans="11:11" ht="15.75" customHeight="1" x14ac:dyDescent="0.2">
      <c r="K232" s="167"/>
    </row>
    <row r="233" spans="11:11" ht="15.75" customHeight="1" x14ac:dyDescent="0.2">
      <c r="K233" s="167"/>
    </row>
    <row r="234" spans="11:11" ht="15.75" customHeight="1" x14ac:dyDescent="0.2">
      <c r="K234" s="167"/>
    </row>
    <row r="235" spans="11:11" ht="15.75" customHeight="1" x14ac:dyDescent="0.2">
      <c r="K235" s="167"/>
    </row>
    <row r="236" spans="11:11" ht="15.75" customHeight="1" x14ac:dyDescent="0.2">
      <c r="K236" s="167"/>
    </row>
    <row r="237" spans="11:11" ht="15.75" customHeight="1" x14ac:dyDescent="0.2">
      <c r="K237" s="167"/>
    </row>
    <row r="238" spans="11:11" ht="15.75" customHeight="1" x14ac:dyDescent="0.2">
      <c r="K238" s="167"/>
    </row>
    <row r="239" spans="11:11" ht="15.75" customHeight="1" x14ac:dyDescent="0.2">
      <c r="K239" s="167"/>
    </row>
    <row r="240" spans="11:11" ht="15.75" customHeight="1" x14ac:dyDescent="0.2">
      <c r="K240" s="167"/>
    </row>
    <row r="241" spans="11:11" ht="15.75" customHeight="1" x14ac:dyDescent="0.2">
      <c r="K241" s="167"/>
    </row>
    <row r="242" spans="11:11" ht="15.75" customHeight="1" x14ac:dyDescent="0.2">
      <c r="K242" s="167"/>
    </row>
    <row r="243" spans="11:11" ht="15.75" customHeight="1" x14ac:dyDescent="0.2">
      <c r="K243" s="167"/>
    </row>
    <row r="244" spans="11:11" ht="15.75" customHeight="1" x14ac:dyDescent="0.2">
      <c r="K244" s="167"/>
    </row>
    <row r="245" spans="11:11" ht="15.75" customHeight="1" x14ac:dyDescent="0.2">
      <c r="K245" s="167"/>
    </row>
    <row r="246" spans="11:11" ht="15.75" customHeight="1" x14ac:dyDescent="0.2">
      <c r="K246" s="167"/>
    </row>
    <row r="247" spans="11:11" ht="15.75" customHeight="1" x14ac:dyDescent="0.2">
      <c r="K247" s="167"/>
    </row>
    <row r="248" spans="11:11" ht="15.75" customHeight="1" x14ac:dyDescent="0.2">
      <c r="K248" s="167"/>
    </row>
    <row r="249" spans="11:11" ht="15.75" customHeight="1" x14ac:dyDescent="0.2">
      <c r="K249" s="167"/>
    </row>
    <row r="250" spans="11:11" ht="15.75" customHeight="1" x14ac:dyDescent="0.2">
      <c r="K250" s="167"/>
    </row>
    <row r="251" spans="11:11" ht="15.75" customHeight="1" x14ac:dyDescent="0.2">
      <c r="K251" s="167"/>
    </row>
    <row r="252" spans="11:11" ht="15.75" customHeight="1" x14ac:dyDescent="0.2">
      <c r="K252" s="167"/>
    </row>
    <row r="253" spans="11:11" ht="15.75" customHeight="1" x14ac:dyDescent="0.2">
      <c r="K253" s="167"/>
    </row>
    <row r="254" spans="11:11" ht="15.75" customHeight="1" x14ac:dyDescent="0.2">
      <c r="K254" s="167"/>
    </row>
    <row r="255" spans="11:11" ht="15.75" customHeight="1" x14ac:dyDescent="0.2">
      <c r="K255" s="167"/>
    </row>
    <row r="256" spans="11:11" ht="15.75" customHeight="1" x14ac:dyDescent="0.2">
      <c r="K256" s="167"/>
    </row>
    <row r="257" spans="11:11" ht="15.75" customHeight="1" x14ac:dyDescent="0.2">
      <c r="K257" s="167"/>
    </row>
    <row r="258" spans="11:11" ht="15.75" customHeight="1" x14ac:dyDescent="0.2">
      <c r="K258" s="167"/>
    </row>
    <row r="259" spans="11:11" ht="15.75" customHeight="1" x14ac:dyDescent="0.2">
      <c r="K259" s="167"/>
    </row>
    <row r="260" spans="11:11" ht="15.75" customHeight="1" x14ac:dyDescent="0.2">
      <c r="K260" s="167"/>
    </row>
    <row r="261" spans="11:11" ht="15.75" customHeight="1" x14ac:dyDescent="0.2">
      <c r="K261" s="167"/>
    </row>
    <row r="262" spans="11:11" ht="15.75" customHeight="1" x14ac:dyDescent="0.2">
      <c r="K262" s="167"/>
    </row>
    <row r="263" spans="11:11" ht="15.75" customHeight="1" x14ac:dyDescent="0.2">
      <c r="K263" s="167"/>
    </row>
    <row r="264" spans="11:11" ht="15.75" customHeight="1" x14ac:dyDescent="0.2">
      <c r="K264" s="167"/>
    </row>
    <row r="265" spans="11:11" ht="15.75" customHeight="1" x14ac:dyDescent="0.2">
      <c r="K265" s="167"/>
    </row>
    <row r="266" spans="11:11" ht="15.75" customHeight="1" x14ac:dyDescent="0.2">
      <c r="K266" s="167"/>
    </row>
    <row r="267" spans="11:11" ht="15.75" customHeight="1" x14ac:dyDescent="0.2">
      <c r="K267" s="167"/>
    </row>
    <row r="268" spans="11:11" ht="15.75" customHeight="1" x14ac:dyDescent="0.2">
      <c r="K268" s="167"/>
    </row>
    <row r="269" spans="11:11" ht="15.75" customHeight="1" x14ac:dyDescent="0.2">
      <c r="K269" s="167"/>
    </row>
    <row r="270" spans="11:11" ht="15.75" customHeight="1" x14ac:dyDescent="0.2">
      <c r="K270" s="167"/>
    </row>
    <row r="271" spans="11:11" ht="15.75" customHeight="1" x14ac:dyDescent="0.2">
      <c r="K271" s="167"/>
    </row>
    <row r="272" spans="11:11" ht="15.75" customHeight="1" x14ac:dyDescent="0.2">
      <c r="K272" s="167"/>
    </row>
    <row r="273" spans="11:11" ht="15.75" customHeight="1" x14ac:dyDescent="0.2">
      <c r="K273" s="167"/>
    </row>
    <row r="274" spans="11:11" ht="15.75" customHeight="1" x14ac:dyDescent="0.2">
      <c r="K274" s="167"/>
    </row>
    <row r="275" spans="11:11" ht="15.75" customHeight="1" x14ac:dyDescent="0.2">
      <c r="K275" s="167"/>
    </row>
    <row r="276" spans="11:11" ht="15.75" customHeight="1" x14ac:dyDescent="0.2">
      <c r="K276" s="167"/>
    </row>
    <row r="277" spans="11:11" ht="15.75" customHeight="1" x14ac:dyDescent="0.2">
      <c r="K277" s="167"/>
    </row>
    <row r="278" spans="11:11" ht="15.75" customHeight="1" x14ac:dyDescent="0.2">
      <c r="K278" s="167"/>
    </row>
    <row r="279" spans="11:11" ht="15.75" customHeight="1" x14ac:dyDescent="0.2">
      <c r="K279" s="167"/>
    </row>
    <row r="280" spans="11:11" ht="15.75" customHeight="1" x14ac:dyDescent="0.2">
      <c r="K280" s="167"/>
    </row>
    <row r="281" spans="11:11" ht="15.75" customHeight="1" x14ac:dyDescent="0.2">
      <c r="K281" s="167"/>
    </row>
    <row r="282" spans="11:11" ht="15.75" customHeight="1" x14ac:dyDescent="0.2">
      <c r="K282" s="167"/>
    </row>
    <row r="283" spans="11:11" ht="15.75" customHeight="1" x14ac:dyDescent="0.2">
      <c r="K283" s="167"/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workbookViewId="0">
      <selection activeCell="C3" sqref="C3"/>
    </sheetView>
  </sheetViews>
  <sheetFormatPr defaultColWidth="20.140625" defaultRowHeight="14.25" customHeight="1" x14ac:dyDescent="0.25"/>
  <cols>
    <col min="1" max="1" width="26.28515625" customWidth="1"/>
    <col min="2" max="2" width="32" customWidth="1"/>
    <col min="3" max="3" width="16.28515625" customWidth="1"/>
    <col min="4" max="4" width="17.42578125" customWidth="1"/>
    <col min="5" max="6" width="15" bestFit="1" customWidth="1"/>
    <col min="7" max="14" width="14.5703125" customWidth="1"/>
  </cols>
  <sheetData>
    <row r="1" spans="1:13" ht="14.25" customHeight="1" x14ac:dyDescent="0.3">
      <c r="A1" s="223" t="s">
        <v>129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4.25" customHeight="1" x14ac:dyDescent="0.25">
      <c r="A2" s="9" t="s">
        <v>111</v>
      </c>
      <c r="B2" s="10"/>
      <c r="C2" s="77" t="s">
        <v>147</v>
      </c>
      <c r="D2" t="s">
        <v>146</v>
      </c>
      <c r="E2" t="s">
        <v>145</v>
      </c>
      <c r="F2" t="s">
        <v>144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</row>
    <row r="3" spans="1:13" ht="14.25" customHeight="1" x14ac:dyDescent="0.25">
      <c r="A3" s="11" t="s">
        <v>74</v>
      </c>
      <c r="B3" s="12" t="s">
        <v>75</v>
      </c>
      <c r="C3" s="78"/>
      <c r="D3" s="3">
        <f>BudgetData!H3-BudgetData!I3</f>
        <v>0</v>
      </c>
      <c r="E3" s="3">
        <f>BudgetData!L3-BudgetData!M3</f>
        <v>0</v>
      </c>
      <c r="F3" s="3">
        <f>BudgetData!P3-BudgetData!Q3</f>
        <v>-1500</v>
      </c>
      <c r="G3" s="3">
        <f>BudgetData!S3-BudgetData!T3</f>
        <v>0</v>
      </c>
      <c r="H3" s="3">
        <f>BudgetData!V3-BudgetData!W3</f>
        <v>0</v>
      </c>
      <c r="I3" s="3">
        <f>BudgetData!Y3-BudgetData!Z3</f>
        <v>0</v>
      </c>
      <c r="J3" s="3">
        <f>BudgetData!AB3-BudgetData!AC3</f>
        <v>0</v>
      </c>
      <c r="K3" s="3"/>
      <c r="L3" s="3">
        <f>BudgetData!AE3-BudgetData!AF3</f>
        <v>0</v>
      </c>
      <c r="M3" s="3">
        <f>BudgetData!AH3-BudgetData!AI3</f>
        <v>0</v>
      </c>
    </row>
    <row r="4" spans="1:13" ht="14.25" customHeight="1" x14ac:dyDescent="0.25">
      <c r="A4" s="11"/>
      <c r="B4" s="12" t="s">
        <v>76</v>
      </c>
      <c r="C4" s="78"/>
      <c r="D4" s="3">
        <f>BudgetData!H4-BudgetData!I4</f>
        <v>0</v>
      </c>
      <c r="E4" s="3">
        <f>BudgetData!L4-BudgetData!M4</f>
        <v>0</v>
      </c>
      <c r="F4" s="3">
        <f>BudgetData!P4-BudgetData!Q4</f>
        <v>-1500</v>
      </c>
      <c r="G4" s="3">
        <f>BudgetData!S4-BudgetData!T4</f>
        <v>0</v>
      </c>
      <c r="H4" s="3">
        <f>BudgetData!V4-BudgetData!W4</f>
        <v>0</v>
      </c>
      <c r="I4" s="3">
        <f>BudgetData!Y4-BudgetData!Z4</f>
        <v>0</v>
      </c>
      <c r="J4" s="3">
        <f>BudgetData!AB4-BudgetData!AC4</f>
        <v>0</v>
      </c>
      <c r="K4" s="3"/>
      <c r="L4" s="3">
        <f>BudgetData!AE4-BudgetData!AF4</f>
        <v>0</v>
      </c>
      <c r="M4" s="3">
        <f>BudgetData!AH4-BudgetData!AI4</f>
        <v>0</v>
      </c>
    </row>
    <row r="5" spans="1:13" ht="14.25" customHeight="1" x14ac:dyDescent="0.25">
      <c r="A5" s="11"/>
      <c r="B5" s="12" t="s">
        <v>77</v>
      </c>
      <c r="C5" s="78"/>
      <c r="D5" s="3">
        <f>BudgetData!H5-BudgetData!I5</f>
        <v>0</v>
      </c>
      <c r="E5" s="3">
        <f>BudgetData!L5-BudgetData!M5</f>
        <v>0</v>
      </c>
      <c r="F5" s="3">
        <f>BudgetData!P5-BudgetData!Q5</f>
        <v>-1500</v>
      </c>
      <c r="G5" s="3">
        <f>BudgetData!S5-BudgetData!T5</f>
        <v>0</v>
      </c>
      <c r="H5" s="3">
        <f>BudgetData!V5-BudgetData!W5</f>
        <v>0</v>
      </c>
      <c r="I5" s="3">
        <f>BudgetData!Y5-BudgetData!Z5</f>
        <v>0</v>
      </c>
      <c r="J5" s="3">
        <f>BudgetData!AB5-BudgetData!AC5</f>
        <v>0</v>
      </c>
      <c r="K5" s="3"/>
      <c r="L5" s="3">
        <f>BudgetData!AE5-BudgetData!AF5</f>
        <v>0</v>
      </c>
      <c r="M5" s="3">
        <f>BudgetData!AH5-BudgetData!AI5</f>
        <v>0</v>
      </c>
    </row>
    <row r="6" spans="1:13" ht="14.25" customHeight="1" x14ac:dyDescent="0.25">
      <c r="A6" s="11"/>
      <c r="B6" s="12" t="s">
        <v>78</v>
      </c>
      <c r="C6" s="78"/>
      <c r="D6" s="3">
        <f>BudgetData!H6-BudgetData!I6</f>
        <v>0</v>
      </c>
      <c r="E6" s="3">
        <f>BudgetData!L6-BudgetData!M6</f>
        <v>0</v>
      </c>
      <c r="F6" s="3">
        <f>BudgetData!P6-BudgetData!Q6</f>
        <v>-1000</v>
      </c>
      <c r="G6" s="3">
        <f>BudgetData!S6-BudgetData!T6</f>
        <v>0</v>
      </c>
      <c r="H6" s="3">
        <f>BudgetData!V6-BudgetData!W6</f>
        <v>0</v>
      </c>
      <c r="I6" s="3">
        <f>BudgetData!Y6-BudgetData!Z6</f>
        <v>0</v>
      </c>
      <c r="J6" s="3">
        <f>BudgetData!AB6-BudgetData!AC6</f>
        <v>0</v>
      </c>
      <c r="K6" s="3"/>
      <c r="L6" s="3">
        <f>BudgetData!AE6-BudgetData!AF6</f>
        <v>0</v>
      </c>
      <c r="M6" s="3">
        <f>BudgetData!AH6-BudgetData!AI6</f>
        <v>0</v>
      </c>
    </row>
    <row r="7" spans="1:13" ht="14.25" customHeight="1" x14ac:dyDescent="0.25">
      <c r="A7" s="11"/>
      <c r="B7" s="12" t="s">
        <v>79</v>
      </c>
      <c r="C7" s="78"/>
      <c r="D7" s="3">
        <f>BudgetData!H7-BudgetData!I7</f>
        <v>60</v>
      </c>
      <c r="E7" s="3">
        <f>BudgetData!L7-BudgetData!M7</f>
        <v>500</v>
      </c>
      <c r="F7" s="3">
        <f>BudgetData!P7-BudgetData!Q7</f>
        <v>0</v>
      </c>
      <c r="G7" s="19">
        <f>BudgetData!S7-BudgetData!T7</f>
        <v>-91</v>
      </c>
      <c r="H7" s="3">
        <f>BudgetData!V7-BudgetData!W7</f>
        <v>0</v>
      </c>
      <c r="I7" s="3">
        <f>BudgetData!Y7-BudgetData!Z7</f>
        <v>0</v>
      </c>
      <c r="J7" s="3">
        <f>BudgetData!AB7-BudgetData!AC7</f>
        <v>60</v>
      </c>
      <c r="K7" s="3"/>
      <c r="L7" s="3">
        <f>BudgetData!AE7-BudgetData!AF7</f>
        <v>0</v>
      </c>
      <c r="M7" s="3">
        <f>BudgetData!AH7-BudgetData!AI7</f>
        <v>359.14</v>
      </c>
    </row>
    <row r="8" spans="1:13" ht="14.25" customHeight="1" x14ac:dyDescent="0.25">
      <c r="A8" s="11"/>
      <c r="B8" s="12" t="s">
        <v>80</v>
      </c>
      <c r="C8" s="78"/>
      <c r="D8" s="3">
        <f>BudgetData!H8-BudgetData!I8</f>
        <v>60</v>
      </c>
      <c r="E8" s="3">
        <f>BudgetData!L8-BudgetData!M8</f>
        <v>500</v>
      </c>
      <c r="F8" s="3">
        <f>BudgetData!P8-BudgetData!Q8</f>
        <v>-5500</v>
      </c>
      <c r="G8" s="3"/>
      <c r="H8" s="3">
        <f>BudgetData!V8-BudgetData!W8</f>
        <v>0</v>
      </c>
      <c r="I8" s="3">
        <f>BudgetData!Y8-BudgetData!Z8</f>
        <v>0</v>
      </c>
      <c r="J8" s="3">
        <f>BudgetData!AB8-BudgetData!AC8</f>
        <v>60</v>
      </c>
      <c r="K8" s="3"/>
      <c r="L8" s="3">
        <f>BudgetData!AE8-BudgetData!AF8</f>
        <v>0</v>
      </c>
      <c r="M8" s="3">
        <f>BudgetData!AH8-BudgetData!AI8</f>
        <v>359.14000000000033</v>
      </c>
    </row>
    <row r="9" spans="1:13" ht="14.25" customHeight="1" x14ac:dyDescent="0.25">
      <c r="A9" s="13" t="s">
        <v>112</v>
      </c>
      <c r="B9" s="10"/>
      <c r="C9" s="77"/>
      <c r="D9" s="77"/>
      <c r="E9" s="77"/>
      <c r="F9" s="77"/>
      <c r="G9" s="3"/>
      <c r="H9" s="3"/>
      <c r="I9" s="3"/>
      <c r="J9" s="3"/>
      <c r="K9" s="3"/>
      <c r="L9" s="3"/>
      <c r="M9" s="3"/>
    </row>
    <row r="10" spans="1:13" ht="14.25" customHeight="1" x14ac:dyDescent="0.25">
      <c r="A10" s="11"/>
      <c r="B10" s="12" t="s">
        <v>81</v>
      </c>
      <c r="C10" s="78"/>
      <c r="D10" s="3">
        <f>BudgetData!H10-BudgetData!I10</f>
        <v>3509.5</v>
      </c>
      <c r="E10" s="3">
        <f>BudgetData!L10-BudgetData!M10</f>
        <v>4268.24</v>
      </c>
      <c r="F10" s="3">
        <f>BudgetData!P10-BudgetData!Q10</f>
        <v>-8658</v>
      </c>
      <c r="G10" s="3">
        <f>BudgetData!S10-BudgetData!T10</f>
        <v>2022</v>
      </c>
      <c r="H10" s="3">
        <f>BudgetData!V10-BudgetData!W10</f>
        <v>0</v>
      </c>
      <c r="I10" s="3">
        <f>BudgetData!Y10-BudgetData!Z10</f>
        <v>0</v>
      </c>
      <c r="J10" s="3">
        <f>BudgetData!AB10-BudgetData!AC10</f>
        <v>0</v>
      </c>
      <c r="K10" s="3"/>
      <c r="L10" s="3">
        <f>BudgetData!AE10-BudgetData!AF10</f>
        <v>0</v>
      </c>
      <c r="M10" s="3">
        <f>BudgetData!AH10-BudgetData!AI10</f>
        <v>0</v>
      </c>
    </row>
    <row r="11" spans="1:13" ht="14.25" customHeight="1" x14ac:dyDescent="0.25">
      <c r="A11" s="11"/>
      <c r="B11" s="12" t="s">
        <v>82</v>
      </c>
      <c r="C11" s="78"/>
      <c r="D11" s="3">
        <f>BudgetData!H11-BudgetData!I11</f>
        <v>1383.3000000000002</v>
      </c>
      <c r="E11" s="3">
        <f>BudgetData!L11-BudgetData!M11</f>
        <v>3579.46</v>
      </c>
      <c r="F11" s="3">
        <f>BudgetData!P11-BudgetData!Q11</f>
        <v>-4855</v>
      </c>
      <c r="G11" s="3">
        <f>BudgetData!S11-BudgetData!T11</f>
        <v>7590</v>
      </c>
      <c r="H11" s="3">
        <f>BudgetData!V11-BudgetData!W11</f>
        <v>0</v>
      </c>
      <c r="I11" s="3">
        <f>BudgetData!Y11-BudgetData!Z11</f>
        <v>0</v>
      </c>
      <c r="J11" s="3">
        <f>BudgetData!AB11-BudgetData!AC11</f>
        <v>0</v>
      </c>
      <c r="K11" s="3"/>
      <c r="L11" s="3">
        <f>BudgetData!AE11-BudgetData!AF11</f>
        <v>0</v>
      </c>
      <c r="M11" s="3">
        <f>BudgetData!AH11-BudgetData!AI11</f>
        <v>0</v>
      </c>
    </row>
    <row r="12" spans="1:13" ht="14.25" customHeight="1" x14ac:dyDescent="0.25">
      <c r="A12" s="11"/>
      <c r="B12" s="12" t="s">
        <v>83</v>
      </c>
      <c r="C12" s="78"/>
      <c r="D12" s="3">
        <f>BudgetData!H12-BudgetData!I12</f>
        <v>4892.7999999999993</v>
      </c>
      <c r="E12" s="3">
        <f>BudgetData!L12-BudgetData!M12</f>
        <v>7847.7000000000007</v>
      </c>
      <c r="F12" s="3">
        <f>BudgetData!P12-BudgetData!Q12</f>
        <v>15033</v>
      </c>
      <c r="G12" s="3">
        <f>BudgetData!S12-BudgetData!T12</f>
        <v>9612</v>
      </c>
      <c r="H12" s="3">
        <f>BudgetData!V12-BudgetData!W12</f>
        <v>0</v>
      </c>
      <c r="I12" s="3">
        <f>BudgetData!Y12-BudgetData!Z12</f>
        <v>0</v>
      </c>
      <c r="J12" s="3">
        <f>BudgetData!AB12-BudgetData!AC12</f>
        <v>0</v>
      </c>
      <c r="K12" s="3"/>
      <c r="L12" s="3">
        <f>BudgetData!AE12-BudgetData!AF12</f>
        <v>0</v>
      </c>
      <c r="M12" s="3">
        <f>BudgetData!AH12-BudgetData!AI12</f>
        <v>0</v>
      </c>
    </row>
    <row r="13" spans="1:13" ht="14.25" customHeight="1" x14ac:dyDescent="0.25">
      <c r="A13" s="11">
        <v>3</v>
      </c>
      <c r="B13" s="12" t="s">
        <v>113</v>
      </c>
      <c r="C13" s="78"/>
      <c r="D13" s="3">
        <f>BudgetData!H13-BudgetData!I13</f>
        <v>0</v>
      </c>
      <c r="E13" s="3">
        <f>BudgetData!L13-BudgetData!M13</f>
        <v>1356</v>
      </c>
      <c r="F13" s="3">
        <f>BudgetData!P13-BudgetData!Q13</f>
        <v>856.38</v>
      </c>
      <c r="G13" s="3">
        <f>BudgetData!S13-BudgetData!T13</f>
        <v>3331.0200000000004</v>
      </c>
      <c r="H13" s="3">
        <f>BudgetData!V13-BudgetData!W13</f>
        <v>0</v>
      </c>
      <c r="I13" s="3">
        <f>BudgetData!Y13-BudgetData!Z13</f>
        <v>0</v>
      </c>
      <c r="J13" s="3">
        <f>BudgetData!AB13-BudgetData!AC13</f>
        <v>0</v>
      </c>
      <c r="K13" s="3"/>
      <c r="L13" s="3">
        <f>BudgetData!AE13-BudgetData!AF13</f>
        <v>0</v>
      </c>
      <c r="M13" s="3">
        <f>BudgetData!AH13-BudgetData!AI13</f>
        <v>0</v>
      </c>
    </row>
    <row r="14" spans="1:13" ht="14.25" customHeight="1" x14ac:dyDescent="0.25">
      <c r="A14" s="11">
        <v>4</v>
      </c>
      <c r="B14" s="12" t="s">
        <v>21</v>
      </c>
      <c r="C14" s="78"/>
      <c r="D14" s="3">
        <f>BudgetData!H14-BudgetData!I14</f>
        <v>0</v>
      </c>
      <c r="E14" s="3">
        <f>BudgetData!L14-BudgetData!M14</f>
        <v>2581</v>
      </c>
      <c r="F14" s="3">
        <f>BudgetData!P14-BudgetData!Q14</f>
        <v>9556</v>
      </c>
      <c r="G14" s="3">
        <f>BudgetData!S14-BudgetData!T14</f>
        <v>2633</v>
      </c>
      <c r="H14" s="3">
        <f>BudgetData!V14-BudgetData!W14</f>
        <v>0</v>
      </c>
      <c r="I14" s="19">
        <f>BudgetData!Y14-BudgetData!Z14</f>
        <v>-106.79999999999927</v>
      </c>
      <c r="J14" s="19">
        <f>BudgetData!AB14-BudgetData!AC14</f>
        <v>-282</v>
      </c>
      <c r="K14" s="3"/>
      <c r="L14" s="3">
        <f>BudgetData!AE14-BudgetData!AF14</f>
        <v>0</v>
      </c>
      <c r="M14" s="3">
        <f>BudgetData!AH14-BudgetData!AI14</f>
        <v>0</v>
      </c>
    </row>
    <row r="15" spans="1:13" ht="14.25" customHeight="1" x14ac:dyDescent="0.25">
      <c r="A15" s="11"/>
      <c r="B15" s="12" t="s">
        <v>22</v>
      </c>
      <c r="C15" s="78"/>
      <c r="D15" s="3">
        <f>BudgetData!H15-BudgetData!I15</f>
        <v>0</v>
      </c>
      <c r="E15" s="3">
        <f>BudgetData!L15-BudgetData!M15</f>
        <v>43.75</v>
      </c>
      <c r="F15" s="3">
        <f>BudgetData!P15-BudgetData!Q15</f>
        <v>175</v>
      </c>
      <c r="G15" s="3">
        <f>BudgetData!S15-BudgetData!T15</f>
        <v>1</v>
      </c>
      <c r="H15" s="19">
        <f>BudgetData!V15-BudgetData!W15</f>
        <v>-4</v>
      </c>
      <c r="I15" s="19">
        <f>BudgetData!Y15-BudgetData!Z15</f>
        <v>-4</v>
      </c>
      <c r="J15" s="3">
        <f>BudgetData!AB15-BudgetData!AC15</f>
        <v>3</v>
      </c>
      <c r="K15" s="3"/>
      <c r="L15" s="3">
        <f>BudgetData!AE15-BudgetData!AF15</f>
        <v>84.4</v>
      </c>
      <c r="M15" s="3">
        <f>BudgetData!AH15-BudgetData!AI15</f>
        <v>26</v>
      </c>
    </row>
    <row r="16" spans="1:13" ht="14.25" customHeight="1" x14ac:dyDescent="0.25">
      <c r="A16" s="11"/>
      <c r="B16" s="12" t="s">
        <v>114</v>
      </c>
      <c r="C16" s="78"/>
      <c r="D16" s="3">
        <f>BudgetData!H16-BudgetData!I16</f>
        <v>0</v>
      </c>
      <c r="E16" s="3">
        <f>BudgetData!L16-BudgetData!M16</f>
        <v>107</v>
      </c>
      <c r="F16" s="3">
        <f>BudgetData!P16-BudgetData!Q16</f>
        <v>428.19</v>
      </c>
      <c r="G16" s="3">
        <f>BudgetData!S16-BudgetData!T16</f>
        <v>407.39499999999998</v>
      </c>
      <c r="H16" s="3">
        <f>BudgetData!V16-BudgetData!W16</f>
        <v>0</v>
      </c>
      <c r="I16" s="3">
        <f>BudgetData!Y16-BudgetData!Z16</f>
        <v>0</v>
      </c>
      <c r="J16" s="3">
        <f>BudgetData!AB16-BudgetData!AC16</f>
        <v>0</v>
      </c>
      <c r="K16" s="3"/>
      <c r="L16" s="3">
        <f>BudgetData!AE16-BudgetData!AF16</f>
        <v>0</v>
      </c>
      <c r="M16" s="3">
        <f>BudgetData!AH16-BudgetData!AI16</f>
        <v>0</v>
      </c>
    </row>
    <row r="17" spans="1:13" ht="14.25" customHeight="1" x14ac:dyDescent="0.25">
      <c r="A17" s="11"/>
      <c r="B17" s="12" t="s">
        <v>115</v>
      </c>
      <c r="C17" s="78"/>
      <c r="D17" s="3">
        <f>BudgetData!H17-BudgetData!I17</f>
        <v>412.70000000000005</v>
      </c>
      <c r="E17" s="3">
        <f>BudgetData!L17-BudgetData!M17</f>
        <v>571.03</v>
      </c>
      <c r="F17" s="3">
        <f>BudgetData!P17-BudgetData!Q17</f>
        <v>1830.4899999999998</v>
      </c>
      <c r="G17" s="3">
        <f>BudgetData!S17-BudgetData!T17</f>
        <v>1169.4400000000005</v>
      </c>
      <c r="H17" s="3">
        <f>BudgetData!V17-BudgetData!W17</f>
        <v>0</v>
      </c>
      <c r="I17" s="3">
        <f>BudgetData!Y17-BudgetData!Z17</f>
        <v>0</v>
      </c>
      <c r="J17" s="3">
        <f>BudgetData!AB17-BudgetData!AC17</f>
        <v>0</v>
      </c>
      <c r="K17" s="3"/>
      <c r="L17" s="3">
        <f>BudgetData!AE17-BudgetData!AF17</f>
        <v>0</v>
      </c>
      <c r="M17" s="3">
        <f>BudgetData!AH17-BudgetData!AI17</f>
        <v>0</v>
      </c>
    </row>
    <row r="18" spans="1:13" ht="14.25" customHeight="1" x14ac:dyDescent="0.25">
      <c r="A18" s="11"/>
      <c r="B18" s="12" t="s">
        <v>23</v>
      </c>
      <c r="C18" s="78"/>
      <c r="D18" s="3">
        <f>BudgetData!H18-BudgetData!I18</f>
        <v>60</v>
      </c>
      <c r="E18" s="3">
        <f>BudgetData!L18-BudgetData!M18</f>
        <v>100</v>
      </c>
      <c r="F18" s="3">
        <f>BudgetData!P18-BudgetData!Q18</f>
        <v>100</v>
      </c>
      <c r="G18" s="3">
        <f>BudgetData!S18-BudgetData!T18</f>
        <v>250</v>
      </c>
      <c r="H18" s="3">
        <f>BudgetData!V18-BudgetData!W18</f>
        <v>150</v>
      </c>
      <c r="I18" s="3">
        <f>BudgetData!Y18-BudgetData!Z18</f>
        <v>45</v>
      </c>
      <c r="J18" s="3">
        <f>BudgetData!AB18-BudgetData!AC18</f>
        <v>250</v>
      </c>
      <c r="K18" s="3"/>
      <c r="L18" s="19">
        <f>BudgetData!AE18-BudgetData!AF18</f>
        <v>-103.13999999999999</v>
      </c>
      <c r="M18" s="3">
        <f>BudgetData!AH18-BudgetData!AI18</f>
        <v>16</v>
      </c>
    </row>
    <row r="19" spans="1:13" ht="14.25" customHeight="1" x14ac:dyDescent="0.25">
      <c r="A19" s="11"/>
      <c r="B19" s="12" t="s">
        <v>24</v>
      </c>
      <c r="C19" s="78"/>
      <c r="D19" s="3">
        <f>BudgetData!H19-BudgetData!I19</f>
        <v>1154.53</v>
      </c>
      <c r="E19" s="3">
        <f>BudgetData!L19-BudgetData!M19</f>
        <v>661.6</v>
      </c>
      <c r="F19" s="3">
        <f>BudgetData!P19-BudgetData!Q19</f>
        <v>-2546.1999999999998</v>
      </c>
      <c r="G19" s="3">
        <f>BudgetData!S19-BudgetData!T19</f>
        <v>698.00000000000023</v>
      </c>
      <c r="H19" s="3">
        <f>BudgetData!V19-BudgetData!W19</f>
        <v>1687.5</v>
      </c>
      <c r="I19" s="3">
        <f>BudgetData!Y19-BudgetData!Z19</f>
        <v>1882.73</v>
      </c>
      <c r="J19" s="3">
        <f>BudgetData!AB19-BudgetData!AC19</f>
        <v>494.5</v>
      </c>
      <c r="K19" s="3"/>
      <c r="L19" s="3">
        <f>BudgetData!AE19-BudgetData!AF19</f>
        <v>67</v>
      </c>
      <c r="M19" s="3">
        <f>BudgetData!AH19-BudgetData!AI19</f>
        <v>177</v>
      </c>
    </row>
    <row r="20" spans="1:13" ht="14.25" customHeight="1" x14ac:dyDescent="0.25">
      <c r="A20" s="11"/>
      <c r="B20" s="12" t="s">
        <v>84</v>
      </c>
      <c r="C20" s="78"/>
      <c r="D20" s="3">
        <f>BudgetData!H20-BudgetData!I20</f>
        <v>6520.0299999999988</v>
      </c>
      <c r="E20" s="3">
        <f>BudgetData!L20-BudgetData!M20</f>
        <v>13268.080000000002</v>
      </c>
      <c r="F20" s="3">
        <f>BudgetData!P20-BudgetData!Q20</f>
        <v>25432.860000000008</v>
      </c>
      <c r="G20" s="3">
        <f>BudgetData!S20-BudgetData!T20</f>
        <v>18101.85500000001</v>
      </c>
      <c r="H20" s="3">
        <f>BudgetData!V20-BudgetData!W20</f>
        <v>1833.5</v>
      </c>
      <c r="I20" s="3">
        <f>BudgetData!Y20-BudgetData!Z20</f>
        <v>1816.929999999993</v>
      </c>
      <c r="J20" s="3">
        <f>BudgetData!AB20-BudgetData!AC20</f>
        <v>465.5</v>
      </c>
      <c r="K20" s="3"/>
      <c r="L20" s="3">
        <f>BudgetData!AE20-BudgetData!AF20</f>
        <v>48.259999999994761</v>
      </c>
      <c r="M20" s="3">
        <f>BudgetData!AH20-BudgetData!AI20</f>
        <v>219</v>
      </c>
    </row>
    <row r="21" spans="1:13" ht="14.25" customHeight="1" x14ac:dyDescent="0.25">
      <c r="A21" s="11"/>
      <c r="B21" s="12" t="s">
        <v>25</v>
      </c>
      <c r="C21" s="78"/>
      <c r="D21" s="3">
        <f>BudgetData!H21-BudgetData!I21</f>
        <v>0</v>
      </c>
      <c r="E21" s="3">
        <f>BudgetData!L21-BudgetData!M21</f>
        <v>0</v>
      </c>
      <c r="F21" s="3">
        <f>BudgetData!P21-BudgetData!Q21</f>
        <v>0</v>
      </c>
      <c r="G21" s="3">
        <f>BudgetData!S21-BudgetData!T21</f>
        <v>0</v>
      </c>
      <c r="H21" s="3">
        <f>BudgetData!V21-BudgetData!W21</f>
        <v>0</v>
      </c>
      <c r="I21" s="3">
        <f>BudgetData!Y21-BudgetData!Z21</f>
        <v>0</v>
      </c>
      <c r="J21" s="3">
        <f>BudgetData!AB21-BudgetData!AC21</f>
        <v>0</v>
      </c>
      <c r="K21" s="3"/>
      <c r="L21" s="3">
        <f>BudgetData!AE21-BudgetData!AF21</f>
        <v>0</v>
      </c>
      <c r="M21" s="3">
        <f>BudgetData!AH21-BudgetData!AI21</f>
        <v>0</v>
      </c>
    </row>
    <row r="22" spans="1:13" ht="14.25" customHeight="1" x14ac:dyDescent="0.25">
      <c r="A22" s="11"/>
      <c r="B22" s="12" t="s">
        <v>26</v>
      </c>
      <c r="C22" s="78"/>
      <c r="D22" s="3">
        <f>BudgetData!H22-BudgetData!I22</f>
        <v>6520.0299999999988</v>
      </c>
      <c r="E22" s="3">
        <f>BudgetData!L22-BudgetData!M22</f>
        <v>13268.080000000002</v>
      </c>
      <c r="F22" s="3">
        <f>BudgetData!P22-BudgetData!Q22</f>
        <v>25432.860000000008</v>
      </c>
      <c r="G22" s="3">
        <f>BudgetData!S22-BudgetData!T22</f>
        <v>18101.85500000001</v>
      </c>
      <c r="H22" s="3">
        <f>BudgetData!V22-BudgetData!W22</f>
        <v>1833.5</v>
      </c>
      <c r="I22" s="3">
        <f>BudgetData!Y22-BudgetData!Z22</f>
        <v>1816.929999999993</v>
      </c>
      <c r="J22" s="3">
        <f>BudgetData!AB22-BudgetData!AC22</f>
        <v>465.5</v>
      </c>
      <c r="K22" s="3"/>
      <c r="L22" s="3">
        <f>BudgetData!AE22-BudgetData!AF22</f>
        <v>48.259999999994761</v>
      </c>
      <c r="M22" s="3">
        <f>BudgetData!AH22-BudgetData!AI22</f>
        <v>219</v>
      </c>
    </row>
    <row r="23" spans="1:13" ht="14.25" customHeight="1" x14ac:dyDescent="0.25">
      <c r="A23" s="13" t="s">
        <v>116</v>
      </c>
      <c r="B23" s="10"/>
      <c r="C23" s="77"/>
      <c r="D23" s="77"/>
      <c r="E23" s="77"/>
      <c r="F23" s="77"/>
      <c r="G23" s="3"/>
      <c r="H23" s="3"/>
      <c r="I23" s="3"/>
      <c r="J23" s="3"/>
      <c r="K23" s="3"/>
      <c r="L23" s="3"/>
      <c r="M23" s="3"/>
    </row>
    <row r="24" spans="1:13" ht="14.25" customHeight="1" x14ac:dyDescent="0.25">
      <c r="A24" s="11">
        <v>5</v>
      </c>
      <c r="B24" s="10" t="s">
        <v>27</v>
      </c>
      <c r="C24" s="77"/>
      <c r="D24" s="3">
        <f>BudgetData!H24-BudgetData!I24</f>
        <v>3708.8999999999996</v>
      </c>
      <c r="E24" s="3">
        <f>BudgetData!L24-BudgetData!M24</f>
        <v>3665.5299999999997</v>
      </c>
      <c r="F24" s="3">
        <f>BudgetData!P24-BudgetData!Q24</f>
        <v>1931.8199999999997</v>
      </c>
      <c r="G24" s="3">
        <f>BudgetData!S24-BudgetData!T24</f>
        <v>364</v>
      </c>
      <c r="H24" s="3">
        <f>BudgetData!V24-BudgetData!W24</f>
        <v>0</v>
      </c>
      <c r="I24" s="3">
        <f>BudgetData!Y24-BudgetData!Z24</f>
        <v>0</v>
      </c>
      <c r="J24" s="3">
        <f>BudgetData!AB24-BudgetData!AC24</f>
        <v>0</v>
      </c>
      <c r="K24" s="3"/>
      <c r="L24" s="3">
        <f>BudgetData!AE24-BudgetData!AF24</f>
        <v>240</v>
      </c>
      <c r="M24" s="3">
        <f>BudgetData!AH24-BudgetData!AI24</f>
        <v>0</v>
      </c>
    </row>
    <row r="25" spans="1:13" ht="14.25" customHeight="1" x14ac:dyDescent="0.25">
      <c r="A25" s="11"/>
      <c r="B25" s="12" t="s">
        <v>28</v>
      </c>
      <c r="C25" s="78"/>
      <c r="D25" s="3">
        <f>BudgetData!H25-BudgetData!I25</f>
        <v>283.73084999999992</v>
      </c>
      <c r="E25" s="3">
        <f>BudgetData!L25-BudgetData!M25</f>
        <v>280.41304500000001</v>
      </c>
      <c r="F25" s="3">
        <f>BudgetData!P25-BudgetData!Q25</f>
        <v>147.78422999999998</v>
      </c>
      <c r="G25" s="3">
        <f>BudgetData!S25-BudgetData!T25</f>
        <v>27.846000000000004</v>
      </c>
      <c r="H25" s="3">
        <f>BudgetData!V25-BudgetData!W25</f>
        <v>6.0000000000059117E-2</v>
      </c>
      <c r="I25" s="3">
        <f>BudgetData!Y25-BudgetData!Z25</f>
        <v>0</v>
      </c>
      <c r="J25" s="3">
        <f>BudgetData!AB25-BudgetData!AC25</f>
        <v>0</v>
      </c>
      <c r="K25" s="3"/>
      <c r="L25" s="3">
        <f>BudgetData!AE25-BudgetData!AF25</f>
        <v>18.399999999999977</v>
      </c>
      <c r="M25" s="3">
        <f>BudgetData!AH25-BudgetData!AI25</f>
        <v>0</v>
      </c>
    </row>
    <row r="26" spans="1:13" ht="14.25" customHeight="1" x14ac:dyDescent="0.25">
      <c r="A26" s="11"/>
      <c r="B26" s="12" t="s">
        <v>29</v>
      </c>
      <c r="C26" s="78"/>
      <c r="D26" s="3">
        <f>BudgetData!H26-BudgetData!I26</f>
        <v>0</v>
      </c>
      <c r="E26" s="3">
        <f>BudgetData!L26-BudgetData!M26</f>
        <v>0.40000000000003411</v>
      </c>
      <c r="F26" s="3">
        <f>BudgetData!P26-BudgetData!Q26</f>
        <v>58.314599999999984</v>
      </c>
      <c r="G26" s="3">
        <f>BudgetData!S26-BudgetData!T26</f>
        <v>11</v>
      </c>
      <c r="H26" s="3">
        <f>BudgetData!V26-BudgetData!W26</f>
        <v>0</v>
      </c>
      <c r="I26" s="3">
        <f>BudgetData!Y26-BudgetData!Z26</f>
        <v>0</v>
      </c>
      <c r="J26" s="3">
        <f>BudgetData!AB26-BudgetData!AC26</f>
        <v>0</v>
      </c>
      <c r="K26" s="3"/>
      <c r="L26" s="3">
        <f>BudgetData!AE26-BudgetData!AF26</f>
        <v>7</v>
      </c>
      <c r="M26" s="3">
        <f>BudgetData!AH26-BudgetData!AI26</f>
        <v>0</v>
      </c>
    </row>
    <row r="27" spans="1:13" ht="14.25" customHeight="1" x14ac:dyDescent="0.25">
      <c r="A27" s="11"/>
      <c r="B27" s="12" t="s">
        <v>30</v>
      </c>
      <c r="C27" s="78"/>
      <c r="D27" s="3">
        <f>BudgetData!H27-BudgetData!I27</f>
        <v>3992.6308499999996</v>
      </c>
      <c r="E27" s="3">
        <f>BudgetData!L27-BudgetData!M27</f>
        <v>3946.3430449999987</v>
      </c>
      <c r="F27" s="3">
        <f>BudgetData!P27-BudgetData!Q27</f>
        <v>2137.9188299999987</v>
      </c>
      <c r="G27" s="3">
        <f>BudgetData!S27-BudgetData!T27</f>
        <v>402.84599999999955</v>
      </c>
      <c r="H27" s="3">
        <f>BudgetData!V27-BudgetData!W27</f>
        <v>5.9999999999490683E-2</v>
      </c>
      <c r="I27" s="3">
        <f>BudgetData!Y27-BudgetData!Z27</f>
        <v>0</v>
      </c>
      <c r="J27" s="3">
        <f>BudgetData!AB27-BudgetData!AC27</f>
        <v>0</v>
      </c>
      <c r="K27" s="3"/>
      <c r="L27" s="3">
        <f>BudgetData!AE27-BudgetData!AF27</f>
        <v>265.39999999999964</v>
      </c>
      <c r="M27" s="3">
        <f>BudgetData!AH27-BudgetData!AI27</f>
        <v>0</v>
      </c>
    </row>
    <row r="28" spans="1:13" ht="14.25" customHeight="1" x14ac:dyDescent="0.25">
      <c r="A28" s="13" t="s">
        <v>117</v>
      </c>
      <c r="B28" s="10"/>
      <c r="C28" s="77"/>
      <c r="D28" s="3">
        <f>BudgetData!H28-BudgetData!I28</f>
        <v>0</v>
      </c>
      <c r="E28" s="3">
        <f>BudgetData!L28-BudgetData!M28</f>
        <v>0</v>
      </c>
      <c r="F28" s="77"/>
      <c r="G28" s="3"/>
      <c r="H28" s="3">
        <f>BudgetData!V28-BudgetData!W28</f>
        <v>0</v>
      </c>
      <c r="I28" s="3">
        <f>BudgetData!Y28-BudgetData!Z28</f>
        <v>0</v>
      </c>
      <c r="J28" s="3">
        <f>BudgetData!AB28-BudgetData!AC28</f>
        <v>0</v>
      </c>
      <c r="K28" s="3"/>
      <c r="L28" s="3">
        <f>BudgetData!AE28-BudgetData!AF28</f>
        <v>0</v>
      </c>
      <c r="M28" s="3">
        <f>BudgetData!AH28-BudgetData!AI28</f>
        <v>0</v>
      </c>
    </row>
    <row r="29" spans="1:13" ht="14.25" customHeight="1" x14ac:dyDescent="0.25">
      <c r="A29" s="11"/>
      <c r="B29" s="12" t="s">
        <v>31</v>
      </c>
      <c r="C29" s="78"/>
      <c r="D29" s="3">
        <f>BudgetData!H29-BudgetData!I29</f>
        <v>-9.0000000000003411E-2</v>
      </c>
      <c r="E29" s="3">
        <f>BudgetData!L29-BudgetData!M29</f>
        <v>3.4399999999999977</v>
      </c>
      <c r="F29" s="3">
        <f>BudgetData!P29-BudgetData!Q29</f>
        <v>-96.52000000000001</v>
      </c>
      <c r="G29" s="3">
        <f>BudgetData!S29-BudgetData!T29</f>
        <v>20</v>
      </c>
      <c r="H29" s="3">
        <f>BudgetData!V29-BudgetData!W29</f>
        <v>157</v>
      </c>
      <c r="I29" s="3">
        <f>BudgetData!Y29-BudgetData!Z29</f>
        <v>5.6899999999999977</v>
      </c>
      <c r="J29" s="19">
        <f>BudgetData!AB29-BudgetData!AC29</f>
        <v>-25</v>
      </c>
      <c r="K29" s="3"/>
      <c r="L29" s="3">
        <f>BudgetData!AE29-BudgetData!AF29</f>
        <v>11.379999999999995</v>
      </c>
      <c r="M29" s="3">
        <f>BudgetData!AH29-BudgetData!AI29</f>
        <v>5</v>
      </c>
    </row>
    <row r="30" spans="1:13" ht="14.25" customHeight="1" x14ac:dyDescent="0.25">
      <c r="A30" s="11"/>
      <c r="B30" s="12" t="s">
        <v>32</v>
      </c>
      <c r="C30" s="78"/>
      <c r="D30" s="3">
        <f>BudgetData!H30-BudgetData!I30</f>
        <v>26</v>
      </c>
      <c r="E30" s="3">
        <f>BudgetData!L30-BudgetData!M30</f>
        <v>150</v>
      </c>
      <c r="F30" s="3">
        <f>BudgetData!P30-BudgetData!Q30</f>
        <v>-98</v>
      </c>
      <c r="G30" s="3">
        <f>BudgetData!S30-BudgetData!T30</f>
        <v>26</v>
      </c>
      <c r="H30" s="3">
        <f>BudgetData!V30-BudgetData!W30</f>
        <v>59</v>
      </c>
      <c r="I30" s="19">
        <f>BudgetData!Y30-BudgetData!Z30</f>
        <v>-140.75</v>
      </c>
      <c r="J30" s="19">
        <f>BudgetData!AB30-BudgetData!AC30</f>
        <v>-18</v>
      </c>
      <c r="K30" s="3"/>
      <c r="L30" s="3">
        <f>BudgetData!AE30-BudgetData!AF30</f>
        <v>130</v>
      </c>
      <c r="M30" s="3">
        <f>BudgetData!AH30-BudgetData!AI30</f>
        <v>63</v>
      </c>
    </row>
    <row r="31" spans="1:13" ht="14.25" customHeight="1" x14ac:dyDescent="0.25">
      <c r="A31" s="11"/>
      <c r="B31" s="12" t="s">
        <v>85</v>
      </c>
      <c r="C31" s="78"/>
      <c r="D31" s="3">
        <f>BudgetData!H31-BudgetData!I31</f>
        <v>520</v>
      </c>
      <c r="E31" s="3">
        <f>BudgetData!L31-BudgetData!M31</f>
        <v>520</v>
      </c>
      <c r="F31" s="3">
        <f>BudgetData!P31-BudgetData!Q31</f>
        <v>1885</v>
      </c>
      <c r="G31" s="3">
        <f>BudgetData!S31-BudgetData!T31</f>
        <v>1150</v>
      </c>
      <c r="H31" s="3">
        <f>BudgetData!V31-BudgetData!W31</f>
        <v>200</v>
      </c>
      <c r="I31" s="19">
        <f>BudgetData!Y31-BudgetData!Z31</f>
        <v>-50</v>
      </c>
      <c r="J31" s="19">
        <f>BudgetData!AB31-BudgetData!AC31</f>
        <v>-200</v>
      </c>
      <c r="K31" s="3"/>
      <c r="L31" s="3">
        <f>BudgetData!AE31-BudgetData!AF31</f>
        <v>0</v>
      </c>
      <c r="M31" s="3">
        <f>BudgetData!AH31-BudgetData!AI31</f>
        <v>120</v>
      </c>
    </row>
    <row r="32" spans="1:13" ht="14.25" customHeight="1" x14ac:dyDescent="0.25">
      <c r="A32" s="11"/>
      <c r="B32" s="12" t="s">
        <v>86</v>
      </c>
      <c r="C32" s="78"/>
      <c r="D32" s="3">
        <f>BudgetData!H32-BudgetData!I32</f>
        <v>0</v>
      </c>
      <c r="E32" s="3">
        <f>BudgetData!L32-BudgetData!M32</f>
        <v>0</v>
      </c>
      <c r="F32" s="3">
        <f>BudgetData!P32-BudgetData!Q32</f>
        <v>198.9</v>
      </c>
      <c r="G32" s="3">
        <f>BudgetData!S32-BudgetData!T32</f>
        <v>0</v>
      </c>
      <c r="H32" s="3">
        <f>BudgetData!V32-BudgetData!W32</f>
        <v>0</v>
      </c>
      <c r="I32" s="3">
        <f>BudgetData!Y32-BudgetData!Z32</f>
        <v>0</v>
      </c>
      <c r="J32" s="3">
        <f>BudgetData!AB32-BudgetData!AC32</f>
        <v>0</v>
      </c>
      <c r="K32" s="3"/>
      <c r="L32" s="3">
        <f>BudgetData!AE32-BudgetData!AF32</f>
        <v>0</v>
      </c>
      <c r="M32" s="3">
        <f>BudgetData!AH32-BudgetData!AI32</f>
        <v>0</v>
      </c>
    </row>
    <row r="33" spans="1:13" ht="14.25" customHeight="1" x14ac:dyDescent="0.25">
      <c r="A33" s="11"/>
      <c r="B33" s="12" t="s">
        <v>33</v>
      </c>
      <c r="C33" s="78"/>
      <c r="D33" s="3">
        <f>BudgetData!H33-BudgetData!I33</f>
        <v>120.74000000000001</v>
      </c>
      <c r="E33" s="3">
        <f>BudgetData!L33-BudgetData!M33</f>
        <v>136.02999999999997</v>
      </c>
      <c r="F33" s="3">
        <f>BudgetData!P33-BudgetData!Q33</f>
        <v>39.470000000000027</v>
      </c>
      <c r="G33" s="3">
        <f>BudgetData!S33-BudgetData!T33</f>
        <v>348</v>
      </c>
      <c r="H33" s="3">
        <f>BudgetData!V33-BudgetData!W33</f>
        <v>65</v>
      </c>
      <c r="I33" s="3">
        <f>BudgetData!Y33-BudgetData!Z33</f>
        <v>144.44000000000005</v>
      </c>
      <c r="J33" s="3">
        <f>BudgetData!AB33-BudgetData!AC33</f>
        <v>143</v>
      </c>
      <c r="K33" s="3"/>
      <c r="L33" s="3">
        <f>BudgetData!AE33-BudgetData!AF33</f>
        <v>522.04999999999995</v>
      </c>
      <c r="M33" s="3">
        <f>BudgetData!AH33-BudgetData!AI33</f>
        <v>136</v>
      </c>
    </row>
    <row r="34" spans="1:13" ht="14.25" customHeight="1" x14ac:dyDescent="0.25">
      <c r="A34" s="11"/>
      <c r="B34" s="12" t="s">
        <v>34</v>
      </c>
      <c r="C34" s="78"/>
      <c r="D34" s="3">
        <f>BudgetData!H34-BudgetData!I34</f>
        <v>669.66</v>
      </c>
      <c r="E34" s="3">
        <f>BudgetData!L34-BudgetData!M34</f>
        <v>319.99</v>
      </c>
      <c r="F34" s="3">
        <f>BudgetData!P34-BudgetData!Q34</f>
        <v>124.89999999999998</v>
      </c>
      <c r="G34" s="3">
        <f>BudgetData!S34-BudgetData!T34</f>
        <v>48</v>
      </c>
      <c r="H34" s="19">
        <f>BudgetData!V34-BudgetData!W34</f>
        <v>-48</v>
      </c>
      <c r="I34" s="3">
        <f>BudgetData!Y34-BudgetData!Z34</f>
        <v>425.66999999999996</v>
      </c>
      <c r="J34" s="3">
        <f>BudgetData!AB34-BudgetData!AC34</f>
        <v>60</v>
      </c>
      <c r="K34" s="3"/>
      <c r="L34" s="19">
        <f>BudgetData!AE34-BudgetData!AF34</f>
        <v>-282.1099999999999</v>
      </c>
      <c r="M34" s="19">
        <f>BudgetData!AH34-BudgetData!AI34</f>
        <v>-137</v>
      </c>
    </row>
    <row r="35" spans="1:13" ht="14.25" customHeight="1" x14ac:dyDescent="0.25">
      <c r="A35" s="11">
        <v>6</v>
      </c>
      <c r="B35" s="12" t="s">
        <v>35</v>
      </c>
      <c r="C35" s="78"/>
      <c r="D35" s="3">
        <f>BudgetData!H35-BudgetData!I35</f>
        <v>0</v>
      </c>
      <c r="E35" s="3">
        <f>BudgetData!L35-BudgetData!M35</f>
        <v>0</v>
      </c>
      <c r="F35" s="3">
        <f>BudgetData!P35-BudgetData!Q35</f>
        <v>-140</v>
      </c>
      <c r="G35" s="3">
        <f>BudgetData!S35-BudgetData!T35</f>
        <v>240</v>
      </c>
      <c r="H35" s="3">
        <f>BudgetData!V35-BudgetData!W35</f>
        <v>165</v>
      </c>
      <c r="I35" s="19">
        <f>BudgetData!Y35-BudgetData!Z35</f>
        <v>-660</v>
      </c>
      <c r="J35" s="3">
        <f>BudgetData!AB35-BudgetData!AC35</f>
        <v>0</v>
      </c>
      <c r="K35" s="3"/>
      <c r="L35" s="3">
        <f>BudgetData!AE35-BudgetData!AF35</f>
        <v>0</v>
      </c>
      <c r="M35" s="3">
        <f>BudgetData!AH35-BudgetData!AI35</f>
        <v>0</v>
      </c>
    </row>
    <row r="36" spans="1:13" ht="14.25" customHeight="1" x14ac:dyDescent="0.25">
      <c r="A36" s="11">
        <v>7</v>
      </c>
      <c r="B36" s="12" t="s">
        <v>36</v>
      </c>
      <c r="C36" s="78"/>
      <c r="D36" s="3">
        <f>BudgetData!H36-BudgetData!I36</f>
        <v>450</v>
      </c>
      <c r="E36" s="3">
        <f>BudgetData!L36-BudgetData!M36</f>
        <v>90.199999999999989</v>
      </c>
      <c r="F36" s="3">
        <f>BudgetData!P36-BudgetData!Q36</f>
        <v>-2172.33</v>
      </c>
      <c r="G36" s="3">
        <f>BudgetData!S36-BudgetData!T36</f>
        <v>-792</v>
      </c>
      <c r="H36" s="3">
        <f>BudgetData!V36-BudgetData!W36</f>
        <v>184</v>
      </c>
      <c r="I36" s="19">
        <f>BudgetData!Y36-BudgetData!Z36</f>
        <v>-72.32000000000005</v>
      </c>
      <c r="J36" s="3">
        <f>BudgetData!AB36-BudgetData!AC36</f>
        <v>110</v>
      </c>
      <c r="K36" s="3"/>
      <c r="L36" s="3">
        <f>BudgetData!AE36-BudgetData!AF36</f>
        <v>0</v>
      </c>
      <c r="M36" s="19">
        <f>BudgetData!AH36-BudgetData!AI36</f>
        <v>-30</v>
      </c>
    </row>
    <row r="37" spans="1:13" ht="14.25" customHeight="1" x14ac:dyDescent="0.25">
      <c r="A37" s="11"/>
      <c r="B37" s="12" t="s">
        <v>37</v>
      </c>
      <c r="C37" s="78"/>
      <c r="D37" s="3">
        <f>BudgetData!H37-BudgetData!I37</f>
        <v>-162.19000000000005</v>
      </c>
      <c r="E37" s="3">
        <f>BudgetData!L37-BudgetData!M37</f>
        <v>817.83</v>
      </c>
      <c r="F37" s="3">
        <f>BudgetData!P37-BudgetData!Q37</f>
        <v>407.71000000000004</v>
      </c>
      <c r="G37" s="3">
        <f>BudgetData!S37-BudgetData!T37</f>
        <v>212</v>
      </c>
      <c r="H37" s="3">
        <f>BudgetData!V37-BudgetData!W37</f>
        <v>135</v>
      </c>
      <c r="I37" s="19">
        <f>BudgetData!Y37-BudgetData!Z37</f>
        <v>-492.5300000000002</v>
      </c>
      <c r="J37" s="3">
        <f>BudgetData!AB37-BudgetData!AC37</f>
        <v>159</v>
      </c>
      <c r="K37" s="3"/>
      <c r="L37" s="19">
        <f>BudgetData!AE37-BudgetData!AF37</f>
        <v>-23.319999999999936</v>
      </c>
      <c r="M37" s="3">
        <f>BudgetData!AH37-BudgetData!AI37</f>
        <v>350</v>
      </c>
    </row>
    <row r="38" spans="1:13" ht="14.25" customHeight="1" x14ac:dyDescent="0.25">
      <c r="A38" s="11"/>
      <c r="B38" s="12" t="s">
        <v>38</v>
      </c>
      <c r="C38" s="78"/>
      <c r="D38" s="3">
        <f>BudgetData!H38-BudgetData!I38</f>
        <v>1624.119999999999</v>
      </c>
      <c r="E38" s="3">
        <f>BudgetData!L38-BudgetData!M38</f>
        <v>2037.4899999999998</v>
      </c>
      <c r="F38" s="3">
        <f>BudgetData!P38-BudgetData!Q38</f>
        <v>149.13000000000011</v>
      </c>
      <c r="G38" s="3">
        <f>BudgetData!S38-BudgetData!T38</f>
        <v>1252</v>
      </c>
      <c r="H38" s="3">
        <f>BudgetData!V38-BudgetData!W38</f>
        <v>917</v>
      </c>
      <c r="I38" s="19">
        <f>BudgetData!Y38-BudgetData!Z38</f>
        <v>-839.79999999999927</v>
      </c>
      <c r="J38" s="3">
        <f>BudgetData!AB38-BudgetData!AC38</f>
        <v>229</v>
      </c>
      <c r="K38" s="3"/>
      <c r="L38" s="3">
        <f>BudgetData!AE38-BudgetData!AF38</f>
        <v>358</v>
      </c>
      <c r="M38" s="3">
        <f>BudgetData!AH38-BudgetData!AI38</f>
        <v>507</v>
      </c>
    </row>
    <row r="39" spans="1:13" ht="14.25" customHeight="1" x14ac:dyDescent="0.25">
      <c r="A39" s="13" t="s">
        <v>118</v>
      </c>
      <c r="B39" s="10"/>
      <c r="C39" s="77"/>
      <c r="D39" s="77"/>
      <c r="E39" s="77"/>
      <c r="F39" s="77"/>
      <c r="G39" s="3"/>
      <c r="H39" s="3"/>
      <c r="I39" s="3"/>
      <c r="J39" s="3"/>
      <c r="K39" s="3"/>
      <c r="L39" s="3"/>
      <c r="M39" s="3"/>
    </row>
    <row r="40" spans="1:13" ht="14.25" customHeight="1" x14ac:dyDescent="0.25">
      <c r="A40" s="11">
        <v>8</v>
      </c>
      <c r="B40" s="12" t="s">
        <v>87</v>
      </c>
      <c r="C40" s="78"/>
      <c r="D40" s="3" t="e">
        <f>BudgetData!H40-BudgetData!I40</f>
        <v>#VALUE!</v>
      </c>
      <c r="E40" s="3">
        <f>BudgetData!L40-BudgetData!M40</f>
        <v>0</v>
      </c>
      <c r="F40" s="3">
        <f>BudgetData!P40-BudgetData!Q40</f>
        <v>2006.4</v>
      </c>
      <c r="G40" s="3">
        <f>BudgetData!S40-BudgetData!T40</f>
        <v>1806</v>
      </c>
      <c r="H40" s="19">
        <f>BudgetData!V40-BudgetData!W40</f>
        <v>-70</v>
      </c>
      <c r="I40" s="3">
        <f>BudgetData!Y40-BudgetData!Z40</f>
        <v>236.94999999999982</v>
      </c>
      <c r="J40" s="3">
        <f>BudgetData!AB40-BudgetData!AC40</f>
        <v>2600</v>
      </c>
      <c r="K40" s="3"/>
      <c r="L40" s="3">
        <f>BudgetData!AE40-BudgetData!AF40</f>
        <v>2372.06</v>
      </c>
      <c r="M40" s="3">
        <f>BudgetData!AH40-BudgetData!AI40</f>
        <v>2535</v>
      </c>
    </row>
    <row r="41" spans="1:13" ht="14.25" customHeight="1" x14ac:dyDescent="0.25">
      <c r="A41" s="11"/>
      <c r="B41" s="12" t="s">
        <v>88</v>
      </c>
      <c r="C41" s="78"/>
      <c r="D41" s="3">
        <f>BudgetData!H41-BudgetData!I41</f>
        <v>664.17999999999984</v>
      </c>
      <c r="E41" s="3">
        <f>BudgetData!L41-BudgetData!M41</f>
        <v>482.15999999999985</v>
      </c>
      <c r="F41" s="3">
        <f>BudgetData!P41-BudgetData!Q41</f>
        <v>357.28999999999996</v>
      </c>
      <c r="G41" s="3">
        <f>BudgetData!S41-BudgetData!T41</f>
        <v>361</v>
      </c>
      <c r="H41" s="3">
        <f>BudgetData!V41-BudgetData!W41</f>
        <v>463</v>
      </c>
      <c r="I41" s="3">
        <f>BudgetData!Y41-BudgetData!Z41</f>
        <v>126.44999999999982</v>
      </c>
      <c r="J41" s="3">
        <f>BudgetData!AB41-BudgetData!AC41</f>
        <v>60</v>
      </c>
      <c r="K41" s="3"/>
      <c r="L41" s="3">
        <f>BudgetData!AE41-BudgetData!AF41</f>
        <v>701.07000000000016</v>
      </c>
      <c r="M41" s="19">
        <f>BudgetData!AH41-BudgetData!AI41</f>
        <v>-401</v>
      </c>
    </row>
    <row r="42" spans="1:13" ht="14.25" customHeight="1" x14ac:dyDescent="0.25">
      <c r="A42" s="11"/>
      <c r="B42" s="12" t="s">
        <v>39</v>
      </c>
      <c r="C42" s="78"/>
      <c r="D42" s="3">
        <f>BudgetData!H42-BudgetData!I42</f>
        <v>-261.37</v>
      </c>
      <c r="E42" s="3">
        <f>BudgetData!L42-BudgetData!M42</f>
        <v>85.759999999999991</v>
      </c>
      <c r="F42" s="3">
        <f>BudgetData!P42-BudgetData!Q42</f>
        <v>250</v>
      </c>
      <c r="G42" s="3">
        <f>BudgetData!S42-BudgetData!T42</f>
        <v>160</v>
      </c>
      <c r="H42" s="19">
        <f>BudgetData!V42-BudgetData!W42</f>
        <v>-84</v>
      </c>
      <c r="I42" s="3">
        <f>BudgetData!Y42-BudgetData!Z42</f>
        <v>106.02000000000001</v>
      </c>
      <c r="J42" s="3">
        <f>BudgetData!AB42-BudgetData!AC42</f>
        <v>55</v>
      </c>
      <c r="K42" s="3"/>
      <c r="L42" s="3">
        <f>BudgetData!AE42-BudgetData!AF42</f>
        <v>0</v>
      </c>
      <c r="M42" s="3">
        <f>BudgetData!AH42-BudgetData!AI42</f>
        <v>0</v>
      </c>
    </row>
    <row r="43" spans="1:13" ht="14.25" customHeight="1" x14ac:dyDescent="0.25">
      <c r="A43" s="11">
        <v>9</v>
      </c>
      <c r="B43" s="12" t="s">
        <v>89</v>
      </c>
      <c r="C43" s="78"/>
      <c r="D43" s="3">
        <f>BudgetData!H43-BudgetData!I43</f>
        <v>270.48</v>
      </c>
      <c r="E43" s="3">
        <f>BudgetData!L43-BudgetData!M43</f>
        <v>350</v>
      </c>
      <c r="F43" s="3">
        <f>BudgetData!P43-BudgetData!Q43</f>
        <v>9.1100000000000136</v>
      </c>
      <c r="G43" s="3">
        <f>BudgetData!S43-BudgetData!T43</f>
        <v>301</v>
      </c>
      <c r="H43" s="19">
        <f>BudgetData!V43-BudgetData!W43</f>
        <v>-345</v>
      </c>
      <c r="I43" s="3">
        <f>BudgetData!Y43-BudgetData!Z43</f>
        <v>250</v>
      </c>
      <c r="J43" s="3">
        <f>BudgetData!AB43-BudgetData!AC43</f>
        <v>607</v>
      </c>
      <c r="K43" s="3"/>
      <c r="L43" s="3">
        <f>BudgetData!AE43-BudgetData!AF43</f>
        <v>0</v>
      </c>
      <c r="M43" s="3">
        <f>BudgetData!AH43-BudgetData!AI43</f>
        <v>0</v>
      </c>
    </row>
    <row r="44" spans="1:13" ht="14.25" customHeight="1" x14ac:dyDescent="0.25">
      <c r="A44" s="11">
        <v>10</v>
      </c>
      <c r="B44" s="12" t="s">
        <v>40</v>
      </c>
      <c r="C44" s="78"/>
      <c r="D44" s="3">
        <f>BudgetData!H44-BudgetData!I44</f>
        <v>300</v>
      </c>
      <c r="E44" s="3">
        <f>BudgetData!L44-BudgetData!M44</f>
        <v>300</v>
      </c>
      <c r="F44" s="3">
        <f>BudgetData!P44-BudgetData!Q44</f>
        <v>600</v>
      </c>
      <c r="G44" s="3">
        <f>BudgetData!S44-BudgetData!T44</f>
        <v>600</v>
      </c>
      <c r="H44" s="3">
        <f>BudgetData!V44-BudgetData!W44</f>
        <v>600</v>
      </c>
      <c r="I44" s="19">
        <f>BudgetData!Y44-BudgetData!Z44</f>
        <v>-1819.56</v>
      </c>
      <c r="J44" s="3">
        <f>BudgetData!AB44-BudgetData!AC44</f>
        <v>50</v>
      </c>
      <c r="K44" s="3"/>
      <c r="L44" s="3">
        <f>BudgetData!AE44-BudgetData!AF44</f>
        <v>0</v>
      </c>
      <c r="M44" s="3">
        <f>BudgetData!AH44-BudgetData!AI44</f>
        <v>0</v>
      </c>
    </row>
    <row r="45" spans="1:13" ht="14.25" customHeight="1" x14ac:dyDescent="0.25">
      <c r="A45" s="11">
        <v>11</v>
      </c>
      <c r="B45" s="12" t="s">
        <v>90</v>
      </c>
      <c r="C45" s="78"/>
      <c r="D45" s="3">
        <f>BudgetData!H45-BudgetData!I45</f>
        <v>725.73999999999978</v>
      </c>
      <c r="E45" s="3">
        <f>BudgetData!L45-BudgetData!M45</f>
        <v>1048.9499999999998</v>
      </c>
      <c r="F45" s="3">
        <f>BudgetData!P45-BudgetData!Q45</f>
        <v>567.31999999999994</v>
      </c>
      <c r="G45" s="3">
        <f>BudgetData!S45-BudgetData!T45</f>
        <v>90</v>
      </c>
      <c r="H45" s="3">
        <f>BudgetData!V45-BudgetData!W45</f>
        <v>337</v>
      </c>
      <c r="I45" s="3">
        <f>BudgetData!Y45-BudgetData!Z45</f>
        <v>172.57999999999998</v>
      </c>
      <c r="J45" s="3">
        <f>BudgetData!AB45-BudgetData!AC45</f>
        <v>237</v>
      </c>
      <c r="K45" s="3"/>
      <c r="L45" s="3">
        <f>BudgetData!AE45-BudgetData!AF45</f>
        <v>0</v>
      </c>
      <c r="M45" s="3">
        <f>BudgetData!AH45-BudgetData!AI45</f>
        <v>0</v>
      </c>
    </row>
    <row r="46" spans="1:13" ht="14.25" customHeight="1" x14ac:dyDescent="0.25">
      <c r="A46" s="11">
        <v>12</v>
      </c>
      <c r="B46" s="10" t="s">
        <v>41</v>
      </c>
      <c r="C46" s="77"/>
      <c r="D46" s="3">
        <f>BudgetData!H46-BudgetData!I46</f>
        <v>-400</v>
      </c>
      <c r="E46" s="3">
        <f>BudgetData!L46-BudgetData!M46</f>
        <v>-225</v>
      </c>
      <c r="F46" s="3">
        <f>BudgetData!P46-BudgetData!Q46</f>
        <v>450</v>
      </c>
      <c r="G46" s="3">
        <f>BudgetData!S46-BudgetData!T46</f>
        <v>0</v>
      </c>
      <c r="H46" s="19">
        <f>BudgetData!V46-BudgetData!W46</f>
        <v>-50</v>
      </c>
      <c r="I46" s="3">
        <f>BudgetData!Y46-BudgetData!Z46</f>
        <v>750</v>
      </c>
      <c r="J46" s="3">
        <f>BudgetData!AB46-BudgetData!AC46</f>
        <v>900</v>
      </c>
      <c r="K46" s="3"/>
      <c r="L46" s="3">
        <f>BudgetData!AE46-BudgetData!AF46</f>
        <v>1000</v>
      </c>
      <c r="M46" s="3">
        <f>BudgetData!AH46-BudgetData!AI46</f>
        <v>900</v>
      </c>
    </row>
    <row r="47" spans="1:13" ht="14.25" customHeight="1" x14ac:dyDescent="0.25">
      <c r="A47" s="11"/>
      <c r="B47" s="14" t="s">
        <v>105</v>
      </c>
      <c r="C47" s="78"/>
      <c r="D47" s="3" t="e">
        <f>BudgetData!H47-BudgetData!I47</f>
        <v>#VALUE!</v>
      </c>
      <c r="E47" s="3">
        <f>BudgetData!L47-BudgetData!M47</f>
        <v>0</v>
      </c>
      <c r="F47" s="3">
        <f>BudgetData!P47-BudgetData!Q47</f>
        <v>0</v>
      </c>
      <c r="G47" s="3">
        <f>BudgetData!S47-BudgetData!T47</f>
        <v>0</v>
      </c>
      <c r="H47" s="3">
        <f>BudgetData!V47-BudgetData!W47</f>
        <v>0</v>
      </c>
      <c r="I47" s="3">
        <f>BudgetData!Y47-BudgetData!Z47</f>
        <v>100</v>
      </c>
      <c r="J47" s="3">
        <f>BudgetData!AB47-BudgetData!AC47</f>
        <v>143</v>
      </c>
      <c r="K47" s="3"/>
      <c r="L47" s="3">
        <f>BudgetData!AE47-BudgetData!AF47</f>
        <v>0</v>
      </c>
      <c r="M47" s="3">
        <f>BudgetData!AH47-BudgetData!AI47</f>
        <v>0</v>
      </c>
    </row>
    <row r="48" spans="1:13" ht="14.25" customHeight="1" x14ac:dyDescent="0.25">
      <c r="A48" s="11">
        <v>13</v>
      </c>
      <c r="B48" s="15" t="s">
        <v>91</v>
      </c>
      <c r="C48" s="89"/>
      <c r="D48" s="3">
        <f>BudgetData!H48-BudgetData!I48</f>
        <v>370</v>
      </c>
      <c r="E48" s="3">
        <f>BudgetData!L48-BudgetData!M48</f>
        <v>420</v>
      </c>
      <c r="F48" s="3">
        <f>BudgetData!P48-BudgetData!Q48</f>
        <v>420</v>
      </c>
      <c r="G48" s="3">
        <f>BudgetData!S48-BudgetData!T48</f>
        <v>250</v>
      </c>
      <c r="H48" s="3">
        <f>BudgetData!V48-BudgetData!W48</f>
        <v>250</v>
      </c>
      <c r="I48" s="3">
        <f>BudgetData!Y48-BudgetData!Z48</f>
        <v>110</v>
      </c>
      <c r="J48" s="3">
        <f>BudgetData!AB48-BudgetData!AC48</f>
        <v>205</v>
      </c>
      <c r="K48" s="3"/>
      <c r="L48" s="3">
        <f>BudgetData!AE48-BudgetData!AF48</f>
        <v>205</v>
      </c>
      <c r="M48" s="3">
        <f>BudgetData!AH48-BudgetData!AI48</f>
        <v>312</v>
      </c>
    </row>
    <row r="49" spans="1:13" ht="14.25" customHeight="1" x14ac:dyDescent="0.25">
      <c r="A49" s="11"/>
      <c r="B49" s="12" t="s">
        <v>92</v>
      </c>
      <c r="C49" s="78"/>
      <c r="D49" s="3">
        <f>BudgetData!H49-BudgetData!I49</f>
        <v>63.009999999999991</v>
      </c>
      <c r="E49" s="3">
        <f>BudgetData!L49-BudgetData!M49</f>
        <v>99.170000000000073</v>
      </c>
      <c r="F49" s="3">
        <f>BudgetData!P49-BudgetData!Q49</f>
        <v>-37.849999999999909</v>
      </c>
      <c r="G49" s="3">
        <f>BudgetData!S49-BudgetData!T49</f>
        <v>165</v>
      </c>
      <c r="H49" s="19">
        <f>BudgetData!V49-BudgetData!W49</f>
        <v>-110</v>
      </c>
      <c r="I49" s="19">
        <f>BudgetData!Y49-BudgetData!Z49</f>
        <v>-200</v>
      </c>
      <c r="J49" s="3">
        <f>BudgetData!AB49-BudgetData!AC49</f>
        <v>15</v>
      </c>
      <c r="K49" s="3"/>
      <c r="L49" s="19">
        <f>BudgetData!AE49-BudgetData!AF49</f>
        <v>-127.33999999999992</v>
      </c>
      <c r="M49" s="3">
        <f>BudgetData!AH49-BudgetData!AI49</f>
        <v>210</v>
      </c>
    </row>
    <row r="50" spans="1:13" ht="14.25" customHeight="1" x14ac:dyDescent="0.25">
      <c r="A50" s="11"/>
      <c r="B50" s="12" t="s">
        <v>42</v>
      </c>
      <c r="C50" s="78"/>
      <c r="D50" s="3">
        <f>BudgetData!H50-BudgetData!I50</f>
        <v>1732.0399999999991</v>
      </c>
      <c r="E50" s="3">
        <f>BudgetData!L50-BudgetData!M50</f>
        <v>2561.04</v>
      </c>
      <c r="F50" s="3">
        <f>BudgetData!P50-BudgetData!Q50</f>
        <v>4622.2700000000004</v>
      </c>
      <c r="G50" s="3">
        <f>BudgetData!S50-BudgetData!T50</f>
        <v>3733</v>
      </c>
      <c r="H50" s="3">
        <f>BudgetData!V50-BudgetData!W50</f>
        <v>991</v>
      </c>
      <c r="I50" s="19">
        <f>BudgetData!Y50-BudgetData!Z50</f>
        <v>-167.55999999999949</v>
      </c>
      <c r="J50" s="3">
        <f>BudgetData!AB50-BudgetData!AC50</f>
        <v>4872</v>
      </c>
      <c r="K50" s="3"/>
      <c r="L50" s="3">
        <f>BudgetData!AE50-BudgetData!AF50</f>
        <v>4150.7900000000009</v>
      </c>
      <c r="M50" s="3">
        <f>BudgetData!AH50-BudgetData!AI50</f>
        <v>3556</v>
      </c>
    </row>
    <row r="51" spans="1:13" ht="14.25" customHeight="1" x14ac:dyDescent="0.25">
      <c r="A51" s="13" t="s">
        <v>119</v>
      </c>
      <c r="B51" s="10"/>
      <c r="C51" s="77"/>
      <c r="D51" s="77"/>
      <c r="E51" s="77"/>
      <c r="F51" s="3"/>
      <c r="G51" s="3"/>
      <c r="H51" s="3"/>
      <c r="I51" s="3"/>
      <c r="J51" s="3"/>
      <c r="K51" s="3"/>
      <c r="L51" s="3"/>
      <c r="M51" s="3"/>
    </row>
    <row r="52" spans="1:13" ht="14.25" customHeight="1" x14ac:dyDescent="0.25">
      <c r="A52" s="11">
        <v>14</v>
      </c>
      <c r="B52" s="10" t="s">
        <v>43</v>
      </c>
      <c r="C52" s="77"/>
      <c r="D52" s="3">
        <f>BudgetData!H52-BudgetData!I52</f>
        <v>2700.5</v>
      </c>
      <c r="E52" s="3">
        <f>BudgetData!L52-BudgetData!M52</f>
        <v>1280</v>
      </c>
      <c r="F52" s="3">
        <f>BudgetData!P52-BudgetData!Q52</f>
        <v>799</v>
      </c>
      <c r="G52" s="3">
        <f>BudgetData!S52-BudgetData!T52</f>
        <v>5979</v>
      </c>
      <c r="H52" s="3">
        <f>BudgetData!V52-BudgetData!W52</f>
        <v>-258</v>
      </c>
      <c r="I52" s="3">
        <f>BudgetData!Y52-BudgetData!Z52</f>
        <v>-24.5</v>
      </c>
      <c r="J52" s="3">
        <f>BudgetData!AB52-BudgetData!AC52</f>
        <v>0</v>
      </c>
      <c r="K52" s="3"/>
      <c r="L52" s="3">
        <f>BudgetData!AE52-BudgetData!AF52</f>
        <v>1059</v>
      </c>
      <c r="M52" s="3">
        <f>BudgetData!AH52-BudgetData!AI52</f>
        <v>65</v>
      </c>
    </row>
    <row r="53" spans="1:13" ht="14.25" customHeight="1" x14ac:dyDescent="0.25">
      <c r="A53" s="11"/>
      <c r="B53" s="12" t="s">
        <v>93</v>
      </c>
      <c r="C53" s="78"/>
      <c r="D53" s="3">
        <f>BudgetData!H53-BudgetData!I53</f>
        <v>256</v>
      </c>
      <c r="E53" s="3">
        <f>BudgetData!L53-BudgetData!M53</f>
        <v>86</v>
      </c>
      <c r="F53" s="3">
        <f>BudgetData!P53-BudgetData!Q53</f>
        <v>66</v>
      </c>
      <c r="G53" s="3">
        <f>BudgetData!S53-BudgetData!T53</f>
        <v>245</v>
      </c>
      <c r="H53" s="3">
        <f>BudgetData!V53-BudgetData!W53</f>
        <v>43</v>
      </c>
      <c r="I53" s="3">
        <f>BudgetData!Y53-BudgetData!Z53</f>
        <v>3</v>
      </c>
      <c r="J53" s="3">
        <f>BudgetData!AB53-BudgetData!AC53</f>
        <v>3</v>
      </c>
      <c r="K53" s="3"/>
      <c r="L53" s="3">
        <f>BudgetData!AE53-BudgetData!AF53</f>
        <v>322</v>
      </c>
      <c r="M53" s="3">
        <f>BudgetData!AH53-BudgetData!AI53</f>
        <v>43</v>
      </c>
    </row>
    <row r="54" spans="1:13" ht="14.25" customHeight="1" x14ac:dyDescent="0.25">
      <c r="A54" s="11"/>
      <c r="B54" s="12" t="s">
        <v>44</v>
      </c>
      <c r="C54" s="78"/>
      <c r="D54" s="3">
        <f>BudgetData!H54-BudgetData!I54</f>
        <v>2956.5</v>
      </c>
      <c r="E54" s="3">
        <f>BudgetData!L54-BudgetData!M54</f>
        <v>1366</v>
      </c>
      <c r="F54" s="3">
        <f>BudgetData!P54-BudgetData!Q54</f>
        <v>865</v>
      </c>
      <c r="G54" s="3">
        <f>BudgetData!S54-BudgetData!T54</f>
        <v>6224</v>
      </c>
      <c r="H54" s="3">
        <f>BudgetData!V54-BudgetData!W54</f>
        <v>-215</v>
      </c>
      <c r="I54" s="3">
        <f>BudgetData!Y54-BudgetData!Z54</f>
        <v>-21.5</v>
      </c>
      <c r="J54" s="3">
        <f>BudgetData!AB54-BudgetData!AC54</f>
        <v>3</v>
      </c>
      <c r="K54" s="3"/>
      <c r="L54" s="3">
        <f>BudgetData!AE54-BudgetData!AF54</f>
        <v>1381</v>
      </c>
      <c r="M54" s="3">
        <f>BudgetData!AH54-BudgetData!AI54</f>
        <v>108</v>
      </c>
    </row>
    <row r="55" spans="1:13" ht="14.25" customHeight="1" x14ac:dyDescent="0.25">
      <c r="A55" s="13" t="s">
        <v>120</v>
      </c>
      <c r="B55" s="10"/>
      <c r="C55" s="77"/>
      <c r="D55" s="77"/>
      <c r="E55" s="77"/>
      <c r="F55" s="77"/>
      <c r="G55" s="3"/>
      <c r="H55" s="3">
        <f>BudgetData!V55-BudgetData!W55</f>
        <v>0</v>
      </c>
      <c r="I55" s="3">
        <f>BudgetData!Y55-BudgetData!Z55</f>
        <v>0</v>
      </c>
      <c r="J55" s="3">
        <f>BudgetData!AB55-BudgetData!AC55</f>
        <v>0</v>
      </c>
      <c r="K55" s="3"/>
      <c r="L55" s="3">
        <f>BudgetData!AE55-BudgetData!AF55</f>
        <v>0</v>
      </c>
      <c r="M55" s="3">
        <f>BudgetData!AH55-BudgetData!AI55</f>
        <v>0</v>
      </c>
    </row>
    <row r="56" spans="1:13" ht="14.25" customHeight="1" x14ac:dyDescent="0.25">
      <c r="A56" s="11"/>
      <c r="B56" s="12" t="s">
        <v>45</v>
      </c>
      <c r="C56" s="78"/>
      <c r="D56" s="3">
        <f>BudgetData!H56-BudgetData!I56</f>
        <v>25</v>
      </c>
      <c r="E56" s="3">
        <f>BudgetData!L56-BudgetData!M56</f>
        <v>25</v>
      </c>
      <c r="F56" s="3">
        <f>BudgetData!P56-BudgetData!Q56</f>
        <v>25</v>
      </c>
      <c r="G56" s="19">
        <f>BudgetData!S56-BudgetData!T56</f>
        <v>-25</v>
      </c>
      <c r="H56" s="3">
        <f>BudgetData!V56-BudgetData!W56</f>
        <v>0</v>
      </c>
      <c r="I56" s="3">
        <f>BudgetData!Y56-BudgetData!Z56</f>
        <v>0</v>
      </c>
      <c r="J56" s="19">
        <f>BudgetData!AB56-BudgetData!AC56</f>
        <v>-24</v>
      </c>
      <c r="K56" s="3"/>
      <c r="L56" s="3">
        <f>BudgetData!AE56-BudgetData!AF56</f>
        <v>0</v>
      </c>
      <c r="M56" s="3">
        <f>BudgetData!AH56-BudgetData!AI56</f>
        <v>-5</v>
      </c>
    </row>
    <row r="57" spans="1:13" ht="14.25" customHeight="1" x14ac:dyDescent="0.25">
      <c r="A57" s="11"/>
      <c r="B57" s="12" t="s">
        <v>46</v>
      </c>
      <c r="C57" s="78"/>
      <c r="D57" s="3">
        <f>BudgetData!H57-BudgetData!I57</f>
        <v>77.170000000000016</v>
      </c>
      <c r="E57" s="3">
        <f>BudgetData!L57-BudgetData!M57</f>
        <v>67.62</v>
      </c>
      <c r="F57" s="3">
        <f>BudgetData!P57-BudgetData!Q57</f>
        <v>-40.740000000000009</v>
      </c>
      <c r="G57" s="19">
        <f>BudgetData!S57-BudgetData!T57</f>
        <v>-153</v>
      </c>
      <c r="H57" s="19">
        <f>BudgetData!V57-BudgetData!W57</f>
        <v>-153</v>
      </c>
      <c r="I57" s="3">
        <f>BudgetData!Y57-BudgetData!Z57</f>
        <v>71.589999999999975</v>
      </c>
      <c r="J57" s="3">
        <f>BudgetData!AB57-BudgetData!AC57</f>
        <v>350</v>
      </c>
      <c r="K57" s="3"/>
      <c r="L57" s="3">
        <f>BudgetData!AE57-BudgetData!AF57</f>
        <v>412.82000000000005</v>
      </c>
      <c r="M57" s="3">
        <f>BudgetData!AH57-BudgetData!AI57</f>
        <v>253</v>
      </c>
    </row>
    <row r="58" spans="1:13" ht="14.25" customHeight="1" x14ac:dyDescent="0.25">
      <c r="A58" s="11"/>
      <c r="B58" s="12" t="s">
        <v>47</v>
      </c>
      <c r="C58" s="78"/>
      <c r="D58" s="3">
        <f>BudgetData!H58-BudgetData!I58</f>
        <v>102.17000000000007</v>
      </c>
      <c r="E58" s="3">
        <f>BudgetData!L58-BudgetData!M58</f>
        <v>92.62</v>
      </c>
      <c r="F58" s="3">
        <f>BudgetData!P58-BudgetData!Q58</f>
        <v>-15.740000000000009</v>
      </c>
      <c r="G58" s="19">
        <f>BudgetData!S58-BudgetData!T58</f>
        <v>-178</v>
      </c>
      <c r="H58" s="19">
        <f>BudgetData!V58-BudgetData!W58</f>
        <v>-153</v>
      </c>
      <c r="I58" s="3">
        <f>BudgetData!Y58-BudgetData!Z58</f>
        <v>71.589999999999918</v>
      </c>
      <c r="J58" s="3">
        <f>BudgetData!AB58-BudgetData!AC58</f>
        <v>326</v>
      </c>
      <c r="K58" s="3"/>
      <c r="L58" s="3">
        <f>BudgetData!AE58-BudgetData!AF58</f>
        <v>412.82000000000005</v>
      </c>
      <c r="M58" s="3">
        <f>BudgetData!AH58-BudgetData!AI58</f>
        <v>248</v>
      </c>
    </row>
    <row r="59" spans="1:13" ht="14.25" customHeight="1" x14ac:dyDescent="0.25">
      <c r="A59" s="11"/>
      <c r="B59" s="16"/>
      <c r="C59" s="78"/>
      <c r="D59" s="78"/>
      <c r="E59" s="78"/>
      <c r="F59" s="78"/>
      <c r="G59" s="3"/>
      <c r="H59" s="3">
        <f>BudgetData!V59-BudgetData!W59</f>
        <v>0</v>
      </c>
      <c r="I59" s="3">
        <f>BudgetData!Y59-BudgetData!Z59</f>
        <v>0</v>
      </c>
      <c r="J59" s="3">
        <f>BudgetData!AB59-BudgetData!AC59</f>
        <v>0</v>
      </c>
      <c r="K59" s="3"/>
      <c r="L59" s="3">
        <f>BudgetData!AE59-BudgetData!AF59</f>
        <v>0</v>
      </c>
      <c r="M59" s="3">
        <f>BudgetData!AH59-BudgetData!AI59</f>
        <v>0</v>
      </c>
    </row>
    <row r="60" spans="1:13" ht="14.25" customHeight="1" x14ac:dyDescent="0.25">
      <c r="A60" s="17" t="s">
        <v>94</v>
      </c>
      <c r="B60" s="18"/>
      <c r="C60" s="77"/>
      <c r="D60" s="3">
        <f>BudgetData!H60-BudgetData!I60</f>
        <v>16987.490849999995</v>
      </c>
      <c r="E60" s="3">
        <f>BudgetData!L60-BudgetData!M60</f>
        <v>23771.573045000012</v>
      </c>
      <c r="F60" s="3">
        <f>BudgetData!P60-BudgetData!Q60</f>
        <v>27691.438830000006</v>
      </c>
      <c r="G60" s="3">
        <f>BudgetData!S60-BudgetData!T60</f>
        <v>29444.701000000001</v>
      </c>
      <c r="H60" s="3">
        <f>BudgetData!V60-BudgetData!W60</f>
        <v>3373.5599999999977</v>
      </c>
      <c r="I60" s="3">
        <f>BudgetData!Y60-BudgetData!Z60</f>
        <v>859.65999999998894</v>
      </c>
      <c r="J60" s="3">
        <f>BudgetData!AB60-BudgetData!AC60</f>
        <v>5955.5</v>
      </c>
      <c r="K60" s="3"/>
      <c r="L60" s="3">
        <f>BudgetData!AE60-BudgetData!AF60</f>
        <v>6616.2700000000041</v>
      </c>
      <c r="M60" s="3">
        <f>BudgetData!AH60-BudgetData!AI60</f>
        <v>4997.1399999999994</v>
      </c>
    </row>
  </sheetData>
  <mergeCells count="1">
    <mergeCell ref="A1:M1"/>
  </mergeCells>
  <pageMargins left="0.7" right="0.7" top="0.75" bottom="0.75" header="0.3" footer="0.3"/>
  <pageSetup scale="6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2"/>
  <sheetViews>
    <sheetView workbookViewId="0">
      <pane xSplit="1" topLeftCell="FB1" activePane="topRight" state="frozen"/>
      <selection pane="topRight" activeCell="FN18" sqref="FN18"/>
    </sheetView>
  </sheetViews>
  <sheetFormatPr defaultColWidth="14.7109375" defaultRowHeight="15" x14ac:dyDescent="0.25"/>
  <sheetData>
    <row r="1" spans="1:169" x14ac:dyDescent="0.25">
      <c r="B1">
        <v>2006</v>
      </c>
      <c r="C1">
        <v>2006</v>
      </c>
      <c r="D1">
        <v>2006</v>
      </c>
      <c r="E1">
        <v>2006</v>
      </c>
      <c r="F1">
        <v>2006</v>
      </c>
      <c r="G1">
        <v>2006</v>
      </c>
      <c r="H1">
        <v>2006</v>
      </c>
      <c r="I1">
        <v>2006</v>
      </c>
      <c r="J1">
        <v>2006</v>
      </c>
      <c r="K1">
        <v>2006</v>
      </c>
      <c r="L1">
        <v>2006</v>
      </c>
      <c r="M1">
        <v>2006</v>
      </c>
      <c r="N1">
        <v>2007</v>
      </c>
      <c r="O1">
        <v>2007</v>
      </c>
      <c r="P1">
        <v>2007</v>
      </c>
      <c r="Q1">
        <v>2007</v>
      </c>
      <c r="R1">
        <v>2007</v>
      </c>
      <c r="S1">
        <v>2007</v>
      </c>
      <c r="T1">
        <v>2007</v>
      </c>
      <c r="U1">
        <v>2007</v>
      </c>
      <c r="V1">
        <v>2007</v>
      </c>
      <c r="W1">
        <v>2007</v>
      </c>
      <c r="X1">
        <v>2007</v>
      </c>
      <c r="Y1">
        <v>2007</v>
      </c>
      <c r="Z1">
        <v>2008</v>
      </c>
      <c r="AA1">
        <v>2008</v>
      </c>
      <c r="AB1">
        <v>2008</v>
      </c>
      <c r="AC1">
        <v>2008</v>
      </c>
      <c r="AD1">
        <v>2008</v>
      </c>
      <c r="AE1">
        <v>2008</v>
      </c>
      <c r="AF1">
        <v>2008</v>
      </c>
      <c r="AG1">
        <v>2008</v>
      </c>
      <c r="AH1">
        <v>2008</v>
      </c>
      <c r="AI1">
        <v>2008</v>
      </c>
      <c r="AJ1">
        <v>2008</v>
      </c>
      <c r="AK1">
        <v>2008</v>
      </c>
      <c r="AL1">
        <v>2009</v>
      </c>
      <c r="AM1">
        <v>2009</v>
      </c>
      <c r="AN1">
        <v>2009</v>
      </c>
      <c r="AO1">
        <v>2009</v>
      </c>
      <c r="AP1">
        <v>2009</v>
      </c>
      <c r="AQ1">
        <v>2009</v>
      </c>
      <c r="AR1">
        <v>2009</v>
      </c>
      <c r="AS1">
        <v>2009</v>
      </c>
      <c r="AT1">
        <v>2009</v>
      </c>
      <c r="AU1">
        <v>2009</v>
      </c>
      <c r="AV1">
        <v>2009</v>
      </c>
      <c r="AW1">
        <v>2009</v>
      </c>
      <c r="AX1">
        <f>YEAR(AX2)</f>
        <v>2010</v>
      </c>
      <c r="AY1">
        <f t="shared" ref="AY1:DJ1" si="0">YEAR(AY2)</f>
        <v>2010</v>
      </c>
      <c r="AZ1">
        <f t="shared" si="0"/>
        <v>2010</v>
      </c>
      <c r="BA1">
        <f t="shared" si="0"/>
        <v>2010</v>
      </c>
      <c r="BB1">
        <f t="shared" si="0"/>
        <v>2010</v>
      </c>
      <c r="BC1">
        <f t="shared" si="0"/>
        <v>2010</v>
      </c>
      <c r="BD1">
        <f t="shared" si="0"/>
        <v>2010</v>
      </c>
      <c r="BE1">
        <f t="shared" si="0"/>
        <v>2010</v>
      </c>
      <c r="BF1">
        <f t="shared" si="0"/>
        <v>2010</v>
      </c>
      <c r="BG1">
        <f t="shared" si="0"/>
        <v>2010</v>
      </c>
      <c r="BH1">
        <f t="shared" si="0"/>
        <v>2010</v>
      </c>
      <c r="BI1">
        <f t="shared" si="0"/>
        <v>2010</v>
      </c>
      <c r="BJ1">
        <f t="shared" si="0"/>
        <v>2011</v>
      </c>
      <c r="BK1">
        <f t="shared" si="0"/>
        <v>2011</v>
      </c>
      <c r="BL1">
        <f t="shared" si="0"/>
        <v>2011</v>
      </c>
      <c r="BM1">
        <f t="shared" si="0"/>
        <v>2011</v>
      </c>
      <c r="BN1">
        <f t="shared" si="0"/>
        <v>2011</v>
      </c>
      <c r="BO1">
        <f t="shared" si="0"/>
        <v>2011</v>
      </c>
      <c r="BP1">
        <f t="shared" si="0"/>
        <v>2011</v>
      </c>
      <c r="BQ1">
        <f t="shared" si="0"/>
        <v>2011</v>
      </c>
      <c r="BR1">
        <f t="shared" si="0"/>
        <v>2011</v>
      </c>
      <c r="BS1">
        <f t="shared" si="0"/>
        <v>2011</v>
      </c>
      <c r="BT1">
        <f t="shared" si="0"/>
        <v>2011</v>
      </c>
      <c r="BU1">
        <f t="shared" si="0"/>
        <v>2011</v>
      </c>
      <c r="BV1">
        <f t="shared" si="0"/>
        <v>2012</v>
      </c>
      <c r="BW1">
        <f t="shared" si="0"/>
        <v>2012</v>
      </c>
      <c r="BX1">
        <f t="shared" si="0"/>
        <v>2012</v>
      </c>
      <c r="BY1">
        <f t="shared" si="0"/>
        <v>2012</v>
      </c>
      <c r="BZ1">
        <f t="shared" si="0"/>
        <v>2012</v>
      </c>
      <c r="CA1">
        <f t="shared" si="0"/>
        <v>2012</v>
      </c>
      <c r="CB1">
        <f t="shared" si="0"/>
        <v>2012</v>
      </c>
      <c r="CC1">
        <f t="shared" si="0"/>
        <v>2012</v>
      </c>
      <c r="CD1">
        <f t="shared" si="0"/>
        <v>2012</v>
      </c>
      <c r="CE1">
        <f t="shared" si="0"/>
        <v>2012</v>
      </c>
      <c r="CF1">
        <f t="shared" si="0"/>
        <v>2012</v>
      </c>
      <c r="CG1">
        <f t="shared" si="0"/>
        <v>2012</v>
      </c>
      <c r="CH1">
        <f t="shared" si="0"/>
        <v>2013</v>
      </c>
      <c r="CI1">
        <f t="shared" si="0"/>
        <v>2013</v>
      </c>
      <c r="CJ1">
        <f t="shared" si="0"/>
        <v>2013</v>
      </c>
      <c r="CK1">
        <f t="shared" si="0"/>
        <v>2013</v>
      </c>
      <c r="CL1">
        <f t="shared" si="0"/>
        <v>2013</v>
      </c>
      <c r="CM1">
        <f t="shared" si="0"/>
        <v>2013</v>
      </c>
      <c r="CN1">
        <f t="shared" si="0"/>
        <v>2013</v>
      </c>
      <c r="CO1">
        <f t="shared" si="0"/>
        <v>2013</v>
      </c>
      <c r="CP1">
        <f t="shared" si="0"/>
        <v>2013</v>
      </c>
      <c r="CQ1">
        <f t="shared" si="0"/>
        <v>2013</v>
      </c>
      <c r="CR1">
        <f t="shared" si="0"/>
        <v>2013</v>
      </c>
      <c r="CS1">
        <f t="shared" si="0"/>
        <v>2013</v>
      </c>
      <c r="CT1">
        <f t="shared" si="0"/>
        <v>2014</v>
      </c>
      <c r="CU1">
        <f t="shared" si="0"/>
        <v>2014</v>
      </c>
      <c r="CV1">
        <f t="shared" si="0"/>
        <v>2014</v>
      </c>
      <c r="CW1">
        <f t="shared" si="0"/>
        <v>2014</v>
      </c>
      <c r="CX1">
        <f t="shared" si="0"/>
        <v>2014</v>
      </c>
      <c r="CY1">
        <f t="shared" si="0"/>
        <v>2014</v>
      </c>
      <c r="CZ1">
        <f t="shared" si="0"/>
        <v>2014</v>
      </c>
      <c r="DA1">
        <f t="shared" si="0"/>
        <v>2014</v>
      </c>
      <c r="DB1">
        <f t="shared" si="0"/>
        <v>2014</v>
      </c>
      <c r="DC1">
        <f t="shared" si="0"/>
        <v>2014</v>
      </c>
      <c r="DD1">
        <f t="shared" si="0"/>
        <v>2014</v>
      </c>
      <c r="DE1">
        <f t="shared" si="0"/>
        <v>2014</v>
      </c>
      <c r="DF1">
        <f t="shared" si="0"/>
        <v>2015</v>
      </c>
      <c r="DG1">
        <f t="shared" si="0"/>
        <v>2015</v>
      </c>
      <c r="DH1">
        <f t="shared" si="0"/>
        <v>2015</v>
      </c>
      <c r="DI1">
        <f t="shared" si="0"/>
        <v>2015</v>
      </c>
      <c r="DJ1">
        <f t="shared" si="0"/>
        <v>2015</v>
      </c>
      <c r="DK1">
        <f t="shared" ref="DK1:EC1" si="1">YEAR(DK2)</f>
        <v>2015</v>
      </c>
      <c r="DL1">
        <f t="shared" si="1"/>
        <v>2015</v>
      </c>
      <c r="DM1">
        <f t="shared" si="1"/>
        <v>2015</v>
      </c>
      <c r="DN1">
        <f t="shared" si="1"/>
        <v>2015</v>
      </c>
      <c r="DO1">
        <f t="shared" si="1"/>
        <v>2015</v>
      </c>
      <c r="DP1">
        <f t="shared" si="1"/>
        <v>2015</v>
      </c>
      <c r="DQ1">
        <f t="shared" si="1"/>
        <v>2015</v>
      </c>
      <c r="DR1">
        <f t="shared" si="1"/>
        <v>2016</v>
      </c>
      <c r="DS1">
        <f t="shared" si="1"/>
        <v>2016</v>
      </c>
      <c r="DT1">
        <f t="shared" si="1"/>
        <v>2016</v>
      </c>
      <c r="DU1">
        <f t="shared" si="1"/>
        <v>2016</v>
      </c>
      <c r="DV1">
        <f t="shared" si="1"/>
        <v>2016</v>
      </c>
      <c r="DW1">
        <f t="shared" si="1"/>
        <v>2016</v>
      </c>
      <c r="DX1">
        <f t="shared" si="1"/>
        <v>2016</v>
      </c>
      <c r="DY1">
        <f t="shared" si="1"/>
        <v>2016</v>
      </c>
      <c r="DZ1">
        <f t="shared" si="1"/>
        <v>2016</v>
      </c>
      <c r="EA1">
        <f t="shared" si="1"/>
        <v>2016</v>
      </c>
      <c r="EB1">
        <f t="shared" si="1"/>
        <v>2016</v>
      </c>
      <c r="EC1">
        <f t="shared" si="1"/>
        <v>2016</v>
      </c>
      <c r="ED1">
        <v>2017</v>
      </c>
      <c r="EE1">
        <v>2017</v>
      </c>
      <c r="EF1">
        <v>2017</v>
      </c>
      <c r="EG1">
        <v>2017</v>
      </c>
      <c r="EH1">
        <v>2017</v>
      </c>
      <c r="EI1">
        <v>2017</v>
      </c>
      <c r="EJ1">
        <v>2017</v>
      </c>
      <c r="EK1">
        <v>2017</v>
      </c>
      <c r="EL1">
        <v>2017</v>
      </c>
      <c r="EM1">
        <v>2017</v>
      </c>
      <c r="EN1">
        <v>2017</v>
      </c>
      <c r="EO1">
        <v>2017</v>
      </c>
      <c r="EP1">
        <v>2018</v>
      </c>
      <c r="EQ1">
        <v>2018</v>
      </c>
      <c r="ER1">
        <v>2018</v>
      </c>
      <c r="ES1">
        <v>2018</v>
      </c>
      <c r="ET1">
        <v>2018</v>
      </c>
      <c r="EU1">
        <v>2018</v>
      </c>
      <c r="EV1">
        <v>2018</v>
      </c>
      <c r="EW1">
        <v>2018</v>
      </c>
      <c r="EX1">
        <v>2018</v>
      </c>
      <c r="EY1">
        <v>2018</v>
      </c>
      <c r="EZ1">
        <v>2018</v>
      </c>
      <c r="FA1">
        <v>2018</v>
      </c>
      <c r="FB1">
        <v>2019</v>
      </c>
      <c r="FC1">
        <v>2019</v>
      </c>
      <c r="FD1">
        <v>2019</v>
      </c>
      <c r="FE1">
        <v>2019</v>
      </c>
      <c r="FF1">
        <v>2019</v>
      </c>
      <c r="FG1">
        <v>2019</v>
      </c>
      <c r="FH1">
        <v>2019</v>
      </c>
      <c r="FI1">
        <v>2019</v>
      </c>
      <c r="FJ1">
        <v>2019</v>
      </c>
      <c r="FK1">
        <v>2019</v>
      </c>
      <c r="FL1">
        <v>2019</v>
      </c>
      <c r="FM1">
        <v>2019</v>
      </c>
    </row>
    <row r="2" spans="1:169" s="1" customFormat="1" x14ac:dyDescent="0.25">
      <c r="A2" s="1" t="s">
        <v>3</v>
      </c>
      <c r="B2" s="2">
        <v>38718</v>
      </c>
      <c r="C2" s="2">
        <v>38749</v>
      </c>
      <c r="D2" s="2">
        <v>38777</v>
      </c>
      <c r="E2" s="2">
        <v>38808</v>
      </c>
      <c r="F2" s="2">
        <v>38838</v>
      </c>
      <c r="G2" s="2">
        <v>38869</v>
      </c>
      <c r="H2" s="2">
        <v>38899</v>
      </c>
      <c r="I2" s="2">
        <v>38930</v>
      </c>
      <c r="J2" s="2">
        <v>38961</v>
      </c>
      <c r="K2" s="2">
        <v>38991</v>
      </c>
      <c r="L2" s="2">
        <v>39022</v>
      </c>
      <c r="M2" s="2">
        <v>39052</v>
      </c>
      <c r="N2" s="2">
        <v>39083</v>
      </c>
      <c r="O2" s="2">
        <v>39114</v>
      </c>
      <c r="P2" s="2">
        <v>39142</v>
      </c>
      <c r="Q2" s="2">
        <v>39173</v>
      </c>
      <c r="R2" s="2">
        <v>39203</v>
      </c>
      <c r="S2" s="2">
        <v>39234</v>
      </c>
      <c r="T2" s="2">
        <v>39264</v>
      </c>
      <c r="U2" s="2">
        <v>39295</v>
      </c>
      <c r="V2" s="2">
        <v>39326</v>
      </c>
      <c r="W2" s="2">
        <v>39356</v>
      </c>
      <c r="X2" s="2">
        <v>39387</v>
      </c>
      <c r="Y2" s="2">
        <v>39417</v>
      </c>
      <c r="Z2" s="2">
        <v>39448</v>
      </c>
      <c r="AA2" s="2">
        <v>39479</v>
      </c>
      <c r="AB2" s="2">
        <v>39508</v>
      </c>
      <c r="AC2" s="2">
        <v>39539</v>
      </c>
      <c r="AD2" s="2">
        <v>39569</v>
      </c>
      <c r="AE2" s="2">
        <v>39600</v>
      </c>
      <c r="AF2" s="2">
        <v>39630</v>
      </c>
      <c r="AG2" s="2">
        <v>39661</v>
      </c>
      <c r="AH2" s="2">
        <v>39692</v>
      </c>
      <c r="AI2" s="2">
        <v>39722</v>
      </c>
      <c r="AJ2" s="2">
        <v>39753</v>
      </c>
      <c r="AK2" s="2">
        <v>39783</v>
      </c>
      <c r="AL2" s="2">
        <v>39814</v>
      </c>
      <c r="AM2" s="2">
        <v>39845</v>
      </c>
      <c r="AN2" s="2">
        <v>39873</v>
      </c>
      <c r="AO2" s="2">
        <v>39904</v>
      </c>
      <c r="AP2" s="2">
        <v>39934</v>
      </c>
      <c r="AQ2" s="2">
        <v>39965</v>
      </c>
      <c r="AR2" s="2">
        <v>39995</v>
      </c>
      <c r="AS2" s="2">
        <v>40026</v>
      </c>
      <c r="AT2" s="2">
        <v>40057</v>
      </c>
      <c r="AU2" s="2">
        <v>40087</v>
      </c>
      <c r="AV2" s="2">
        <v>40118</v>
      </c>
      <c r="AW2" s="2">
        <v>40148</v>
      </c>
      <c r="AX2" s="2">
        <v>40179</v>
      </c>
      <c r="AY2" s="2">
        <v>40210</v>
      </c>
      <c r="AZ2" s="2">
        <v>40238</v>
      </c>
      <c r="BA2" s="2">
        <v>40269</v>
      </c>
      <c r="BB2" s="2">
        <v>40299</v>
      </c>
      <c r="BC2" s="2">
        <v>40330</v>
      </c>
      <c r="BD2" s="2">
        <v>40360</v>
      </c>
      <c r="BE2" s="2">
        <v>40391</v>
      </c>
      <c r="BF2" s="2">
        <v>40422</v>
      </c>
      <c r="BG2" s="2">
        <v>40452</v>
      </c>
      <c r="BH2" s="2">
        <v>40483</v>
      </c>
      <c r="BI2" s="2">
        <v>40513</v>
      </c>
      <c r="BJ2" s="2">
        <v>40544</v>
      </c>
      <c r="BK2" s="2">
        <v>40575</v>
      </c>
      <c r="BL2" s="2">
        <v>40603</v>
      </c>
      <c r="BM2" s="2">
        <v>40634</v>
      </c>
      <c r="BN2" s="2">
        <v>40664</v>
      </c>
      <c r="BO2" s="2">
        <v>40695</v>
      </c>
      <c r="BP2" s="2">
        <v>40725</v>
      </c>
      <c r="BQ2" s="2">
        <v>40756</v>
      </c>
      <c r="BR2" s="2">
        <v>40787</v>
      </c>
      <c r="BS2" s="2">
        <v>40817</v>
      </c>
      <c r="BT2" s="2">
        <v>40848</v>
      </c>
      <c r="BU2" s="2">
        <v>40878</v>
      </c>
      <c r="BV2" s="2">
        <v>40909</v>
      </c>
      <c r="BW2" s="2">
        <v>40940</v>
      </c>
      <c r="BX2" s="2">
        <v>40969</v>
      </c>
      <c r="BY2" s="2">
        <v>41000</v>
      </c>
      <c r="BZ2" s="2">
        <v>41030</v>
      </c>
      <c r="CA2" s="2">
        <v>41061</v>
      </c>
      <c r="CB2" s="2">
        <v>41091</v>
      </c>
      <c r="CC2" s="2">
        <v>41122</v>
      </c>
      <c r="CD2" s="2">
        <v>41153</v>
      </c>
      <c r="CE2" s="2">
        <v>41183</v>
      </c>
      <c r="CF2" s="2">
        <v>41214</v>
      </c>
      <c r="CG2" s="2">
        <v>41244</v>
      </c>
      <c r="CH2" s="2">
        <v>41275</v>
      </c>
      <c r="CI2" s="2">
        <v>41306</v>
      </c>
      <c r="CJ2" s="2">
        <v>41334</v>
      </c>
      <c r="CK2" s="2">
        <v>41365</v>
      </c>
      <c r="CL2" s="2">
        <v>41395</v>
      </c>
      <c r="CM2" s="2">
        <v>41426</v>
      </c>
      <c r="CN2" s="2">
        <v>41456</v>
      </c>
      <c r="CO2" s="2">
        <v>41487</v>
      </c>
      <c r="CP2" s="2">
        <v>41518</v>
      </c>
      <c r="CQ2" s="2">
        <v>41548</v>
      </c>
      <c r="CR2" s="2">
        <v>41579</v>
      </c>
      <c r="CS2" s="2">
        <v>41609</v>
      </c>
      <c r="CT2" s="2">
        <v>41640</v>
      </c>
      <c r="CU2" s="2">
        <v>41671</v>
      </c>
      <c r="CV2" s="2">
        <v>41699</v>
      </c>
      <c r="CW2" s="2">
        <v>41730</v>
      </c>
      <c r="CX2" s="2">
        <v>41760</v>
      </c>
      <c r="CY2" s="2">
        <v>41791</v>
      </c>
      <c r="CZ2" s="2">
        <v>41821</v>
      </c>
      <c r="DA2" s="2">
        <v>41852</v>
      </c>
      <c r="DB2" s="2">
        <v>41883</v>
      </c>
      <c r="DC2" s="2">
        <v>41913</v>
      </c>
      <c r="DD2" s="2">
        <v>41944</v>
      </c>
      <c r="DE2" s="2">
        <v>41974</v>
      </c>
      <c r="DF2" s="2">
        <v>42005</v>
      </c>
      <c r="DG2" s="2">
        <v>42036</v>
      </c>
      <c r="DH2" s="2">
        <v>42064</v>
      </c>
      <c r="DI2" s="2">
        <v>42095</v>
      </c>
      <c r="DJ2" s="2">
        <v>42125</v>
      </c>
      <c r="DK2" s="2">
        <v>42156</v>
      </c>
      <c r="DL2" s="2">
        <v>42186</v>
      </c>
      <c r="DM2" s="2">
        <v>42217</v>
      </c>
      <c r="DN2" s="2">
        <v>42248</v>
      </c>
      <c r="DO2" s="2">
        <v>42278</v>
      </c>
      <c r="DP2" s="2">
        <v>42309</v>
      </c>
      <c r="DQ2" s="2">
        <v>42339</v>
      </c>
      <c r="DR2" s="2">
        <v>42370</v>
      </c>
      <c r="DS2" s="2">
        <v>42401</v>
      </c>
      <c r="DT2" s="2">
        <v>42430</v>
      </c>
      <c r="DU2" s="2">
        <v>42461</v>
      </c>
      <c r="DV2" s="2">
        <v>42491</v>
      </c>
      <c r="DW2" s="2">
        <v>42522</v>
      </c>
      <c r="DX2" s="2">
        <v>42552</v>
      </c>
      <c r="DY2" s="2">
        <v>42583</v>
      </c>
      <c r="DZ2" s="2">
        <v>42614</v>
      </c>
      <c r="EA2" s="2">
        <v>42644</v>
      </c>
      <c r="EB2" s="2">
        <v>42675</v>
      </c>
      <c r="EC2" s="2">
        <v>42705</v>
      </c>
      <c r="ED2" s="2">
        <v>42736</v>
      </c>
      <c r="EE2" s="2">
        <v>42767</v>
      </c>
      <c r="EF2" s="2">
        <v>42795</v>
      </c>
      <c r="EG2" s="2">
        <v>42826</v>
      </c>
      <c r="EH2" s="2">
        <v>42856</v>
      </c>
      <c r="EI2" s="2">
        <v>42887</v>
      </c>
      <c r="EJ2" s="2">
        <v>42917</v>
      </c>
      <c r="EK2" s="2">
        <v>42948</v>
      </c>
      <c r="EL2" s="2">
        <v>42979</v>
      </c>
      <c r="EM2" s="2">
        <v>43009</v>
      </c>
      <c r="EN2" s="2">
        <v>43040</v>
      </c>
      <c r="EO2" s="2">
        <v>43070</v>
      </c>
      <c r="EP2" s="2">
        <v>43101</v>
      </c>
      <c r="EQ2" s="2">
        <v>43132</v>
      </c>
      <c r="ER2" s="2">
        <v>43160</v>
      </c>
      <c r="ES2" s="2">
        <v>43191</v>
      </c>
      <c r="ET2" s="2">
        <v>43221</v>
      </c>
      <c r="EU2" s="2">
        <v>43252</v>
      </c>
      <c r="EV2" s="2">
        <v>43282</v>
      </c>
      <c r="EW2" s="2">
        <v>43313</v>
      </c>
      <c r="EX2" s="2">
        <v>43344</v>
      </c>
      <c r="EY2" s="2">
        <v>43374</v>
      </c>
      <c r="EZ2" s="2">
        <v>43405</v>
      </c>
      <c r="FA2" s="2">
        <v>43435</v>
      </c>
      <c r="FB2" s="2">
        <v>43466</v>
      </c>
      <c r="FC2" s="2">
        <v>43497</v>
      </c>
      <c r="FD2" s="2">
        <v>43525</v>
      </c>
      <c r="FE2" s="2">
        <v>43556</v>
      </c>
      <c r="FF2" s="2">
        <v>43586</v>
      </c>
      <c r="FG2" s="2">
        <v>43617</v>
      </c>
      <c r="FH2" s="2">
        <v>43647</v>
      </c>
      <c r="FI2" s="2">
        <v>43678</v>
      </c>
      <c r="FJ2" s="2">
        <v>43709</v>
      </c>
      <c r="FK2" s="2">
        <v>43739</v>
      </c>
      <c r="FL2" s="2">
        <v>43770</v>
      </c>
      <c r="FM2" s="2">
        <v>43800</v>
      </c>
    </row>
    <row r="3" spans="1:169" s="5" customFormat="1" ht="18.75" x14ac:dyDescent="0.3">
      <c r="A3" s="5" t="s">
        <v>1</v>
      </c>
      <c r="F3" s="65">
        <v>7768.79</v>
      </c>
      <c r="J3" s="65">
        <v>5402.4</v>
      </c>
      <c r="L3" s="65">
        <v>8088.67</v>
      </c>
      <c r="M3" s="65">
        <v>8576.2099999999991</v>
      </c>
      <c r="O3" s="65">
        <v>5230.09</v>
      </c>
      <c r="P3" s="65">
        <v>6043.3</v>
      </c>
      <c r="R3" s="65">
        <v>6226.5</v>
      </c>
      <c r="S3" s="65">
        <v>5394.12</v>
      </c>
      <c r="T3" s="65">
        <v>6955.71</v>
      </c>
      <c r="U3" s="65">
        <v>5213.12</v>
      </c>
      <c r="V3" s="65">
        <v>5006.83</v>
      </c>
      <c r="W3" s="65">
        <v>6648.75</v>
      </c>
      <c r="X3" s="65">
        <v>4564.1000000000004</v>
      </c>
      <c r="Y3" s="65">
        <v>8623.76</v>
      </c>
      <c r="Z3" s="65">
        <v>5120.75</v>
      </c>
      <c r="AA3" s="65">
        <v>4458</v>
      </c>
      <c r="AB3" s="65">
        <v>8800.0499999999993</v>
      </c>
      <c r="AC3" s="65">
        <v>5401.34</v>
      </c>
      <c r="AD3" s="66">
        <v>5317.75</v>
      </c>
      <c r="AE3" s="66">
        <v>6566.98</v>
      </c>
      <c r="AF3" s="65">
        <v>11391</v>
      </c>
      <c r="AG3" s="65">
        <v>7514.43</v>
      </c>
      <c r="AH3" s="65">
        <v>15216.52</v>
      </c>
      <c r="AI3" s="65">
        <v>5275.55</v>
      </c>
      <c r="AJ3" s="65">
        <v>12248.77</v>
      </c>
      <c r="AK3" s="65">
        <v>10551.01</v>
      </c>
      <c r="AX3" s="5">
        <v>12339.36</v>
      </c>
      <c r="AY3" s="5">
        <v>6642.83</v>
      </c>
      <c r="AZ3" s="5">
        <v>16118.16</v>
      </c>
      <c r="BA3" s="5">
        <v>8659.25</v>
      </c>
      <c r="BB3" s="5">
        <v>11066.99</v>
      </c>
      <c r="BD3" s="5">
        <v>6648</v>
      </c>
      <c r="BE3" s="5">
        <v>12403.5</v>
      </c>
      <c r="BF3" s="5">
        <v>8051.93</v>
      </c>
      <c r="BG3" s="5">
        <v>10669.14</v>
      </c>
      <c r="BH3" s="5">
        <v>9286.5</v>
      </c>
      <c r="BI3" s="5">
        <v>9514.61</v>
      </c>
      <c r="BJ3" s="5">
        <v>9306</v>
      </c>
      <c r="BK3" s="5">
        <v>7113.91</v>
      </c>
      <c r="BL3" s="5">
        <v>17382.5</v>
      </c>
      <c r="BM3" s="5">
        <v>11106.3</v>
      </c>
      <c r="BN3" s="5">
        <v>12019.45</v>
      </c>
      <c r="BO3" s="5">
        <v>7674.51</v>
      </c>
      <c r="BP3" s="5">
        <v>9274.5</v>
      </c>
      <c r="BQ3" s="5">
        <v>7597</v>
      </c>
      <c r="BR3" s="5">
        <v>7881.85</v>
      </c>
      <c r="BU3" s="5">
        <v>10386.25</v>
      </c>
      <c r="BV3" s="5">
        <v>9628.75</v>
      </c>
      <c r="BW3" s="5">
        <v>9290.75</v>
      </c>
      <c r="BX3" s="5">
        <v>12646.16</v>
      </c>
      <c r="BY3" s="5">
        <v>10462</v>
      </c>
      <c r="BZ3" s="60">
        <v>10440.6</v>
      </c>
      <c r="CA3" s="60">
        <v>9863.5</v>
      </c>
      <c r="CB3" s="60">
        <v>9339.9</v>
      </c>
      <c r="CC3" s="60">
        <v>8238.75</v>
      </c>
      <c r="CD3" s="60">
        <v>10131.5</v>
      </c>
      <c r="CE3" s="60">
        <v>9905.4</v>
      </c>
      <c r="DC3" s="5">
        <v>9010.35</v>
      </c>
      <c r="DD3" s="5">
        <v>10434.25</v>
      </c>
      <c r="DE3" s="6">
        <v>16936.54</v>
      </c>
      <c r="DF3" s="5">
        <v>11657.5</v>
      </c>
      <c r="DH3" s="5">
        <v>11536</v>
      </c>
      <c r="DJ3" s="6">
        <v>8742.2000000000007</v>
      </c>
      <c r="DK3" s="5">
        <v>11488</v>
      </c>
      <c r="DL3" s="7">
        <v>8417.01</v>
      </c>
      <c r="DM3" s="5">
        <v>7314.5</v>
      </c>
      <c r="DN3" s="5">
        <v>7136</v>
      </c>
      <c r="DO3" s="5">
        <v>7105.02</v>
      </c>
      <c r="DR3" s="5">
        <v>5092</v>
      </c>
      <c r="DS3" s="5">
        <v>7753.51</v>
      </c>
      <c r="DT3" s="5">
        <v>8465.82</v>
      </c>
      <c r="DU3" s="5">
        <v>5309.5</v>
      </c>
      <c r="DV3" s="5">
        <v>7004</v>
      </c>
      <c r="DW3" s="5">
        <v>10615.6</v>
      </c>
      <c r="DX3" s="5">
        <v>6802</v>
      </c>
      <c r="DY3" s="5">
        <v>5523</v>
      </c>
      <c r="DZ3" s="6">
        <v>5916.5</v>
      </c>
      <c r="EA3" s="68">
        <v>7873.28</v>
      </c>
      <c r="EB3" s="5">
        <v>8167</v>
      </c>
      <c r="EC3" s="5">
        <v>9787.5</v>
      </c>
      <c r="ED3" s="5">
        <v>7521.25</v>
      </c>
      <c r="EE3" s="5">
        <v>7502.5</v>
      </c>
      <c r="EF3" s="5">
        <v>6664.66</v>
      </c>
      <c r="EG3" s="5">
        <v>8466.5</v>
      </c>
      <c r="EH3" s="5">
        <v>5849</v>
      </c>
      <c r="EI3" s="5">
        <v>14452.8</v>
      </c>
      <c r="EJ3" s="5">
        <v>5468</v>
      </c>
      <c r="EK3" s="5">
        <v>6428.76</v>
      </c>
      <c r="EL3" s="5">
        <v>4881</v>
      </c>
      <c r="EM3" s="5">
        <v>7414.87</v>
      </c>
      <c r="EN3" s="79">
        <f>2246+1500+13+1156+375+590+52</f>
        <v>5932</v>
      </c>
      <c r="EO3" s="79">
        <f>821+744.5+2115+1165+1000.01+758.75+44.25+1667+1400+13.5+909+558</f>
        <v>11196.01</v>
      </c>
      <c r="EP3" s="79">
        <v>5201</v>
      </c>
      <c r="EQ3" s="79">
        <f>2225+563.46+12.5+966+525+89</f>
        <v>4380.96</v>
      </c>
      <c r="ER3" s="79">
        <f>817+137+37.5+0.5+1780+433+250+65+1295+1150+890+291+75+830+241</f>
        <v>8292</v>
      </c>
      <c r="ES3" s="79">
        <f>1508+707+383+114+1558+760+670+488+501+25</f>
        <v>6714</v>
      </c>
      <c r="ET3" s="79">
        <f>1892+917+25+1920+912+766+570+340</f>
        <v>7342</v>
      </c>
      <c r="EU3" s="79">
        <f>1625+1141+480+858+649.25+250</f>
        <v>5003.25</v>
      </c>
      <c r="EV3" s="79">
        <f>1452+50+1090+225+470+284+260+766+405+561+215+6</f>
        <v>5784</v>
      </c>
      <c r="EW3" s="5">
        <v>4998.5</v>
      </c>
      <c r="EX3" s="5">
        <v>5931.66</v>
      </c>
      <c r="EY3" s="5">
        <v>6108</v>
      </c>
      <c r="EZ3" s="5">
        <v>10062.93</v>
      </c>
      <c r="FA3" s="5">
        <v>15762</v>
      </c>
      <c r="FB3" s="5">
        <v>5997.91</v>
      </c>
      <c r="FC3" s="5">
        <v>8867.9599999999991</v>
      </c>
      <c r="FD3" s="5">
        <v>6478</v>
      </c>
      <c r="FE3" s="5">
        <v>6423.61</v>
      </c>
      <c r="FF3" s="5">
        <v>6138.5599999999995</v>
      </c>
      <c r="FG3" s="5">
        <v>7470.46</v>
      </c>
      <c r="FH3" s="5">
        <v>4644</v>
      </c>
      <c r="FI3" s="5">
        <v>5846.62</v>
      </c>
      <c r="FJ3" s="5">
        <v>8132.25</v>
      </c>
      <c r="FK3" s="5">
        <v>4816.04</v>
      </c>
      <c r="FL3" s="5">
        <v>5589.63</v>
      </c>
      <c r="FM3" s="5">
        <v>9125.65</v>
      </c>
    </row>
    <row r="4" spans="1:169" s="5" customFormat="1" ht="18.75" x14ac:dyDescent="0.3">
      <c r="A4" s="5" t="s">
        <v>0</v>
      </c>
      <c r="F4" s="65">
        <v>2925.21</v>
      </c>
      <c r="J4" s="65">
        <v>8562.68</v>
      </c>
      <c r="L4" s="65">
        <v>4035.78</v>
      </c>
      <c r="M4" s="65">
        <v>10507.5</v>
      </c>
      <c r="O4" s="65">
        <v>3545.61</v>
      </c>
      <c r="P4" s="65">
        <v>6300</v>
      </c>
      <c r="R4" s="65">
        <v>7417.16</v>
      </c>
      <c r="S4" s="67">
        <v>4224.95</v>
      </c>
      <c r="T4" s="65">
        <v>5229.5</v>
      </c>
      <c r="U4" s="65">
        <v>2054.77</v>
      </c>
      <c r="V4" s="65">
        <v>5641.44</v>
      </c>
      <c r="W4" s="65">
        <v>5881.03</v>
      </c>
      <c r="X4" s="65">
        <v>4438.26</v>
      </c>
      <c r="Y4" s="65">
        <v>5492.12</v>
      </c>
      <c r="Z4" s="65">
        <v>8366.08</v>
      </c>
      <c r="AA4" s="65">
        <v>4568.6400000000003</v>
      </c>
      <c r="AB4" s="65">
        <v>8168.47</v>
      </c>
      <c r="AC4" s="65">
        <v>12283.03</v>
      </c>
      <c r="AD4" s="65">
        <v>5526.22</v>
      </c>
      <c r="AE4" s="65">
        <v>8881.6</v>
      </c>
      <c r="AF4" s="65">
        <v>10423.879999999999</v>
      </c>
      <c r="AG4" s="65">
        <v>9633.0300000000007</v>
      </c>
      <c r="AH4" s="65">
        <v>13400.89</v>
      </c>
      <c r="AI4" s="65">
        <v>8946.7999999999993</v>
      </c>
      <c r="AJ4" s="65">
        <v>8196.49</v>
      </c>
      <c r="AK4" s="65">
        <v>11074.97</v>
      </c>
      <c r="AX4" s="5">
        <v>9067.2199999999993</v>
      </c>
      <c r="AY4" s="5">
        <v>9631.31</v>
      </c>
      <c r="AZ4" s="5">
        <v>12291.08</v>
      </c>
      <c r="BA4" s="5">
        <v>11402.59</v>
      </c>
      <c r="BB4" s="5">
        <v>13096.84</v>
      </c>
      <c r="BD4" s="5">
        <v>7490.53</v>
      </c>
      <c r="BE4" s="5">
        <v>10732.26</v>
      </c>
      <c r="BF4" s="5">
        <v>9788.16</v>
      </c>
      <c r="BG4" s="5">
        <v>8652.14</v>
      </c>
      <c r="BH4" s="5">
        <v>7684.47</v>
      </c>
      <c r="BI4" s="5">
        <v>10131.219999999999</v>
      </c>
      <c r="BJ4" s="5">
        <v>7295.24</v>
      </c>
      <c r="BK4" s="5">
        <v>10677.32</v>
      </c>
      <c r="BL4" s="5">
        <v>16562.38</v>
      </c>
      <c r="BM4" s="5">
        <v>9961.4599999999991</v>
      </c>
      <c r="BN4" s="5">
        <v>10016.35</v>
      </c>
      <c r="BO4" s="5">
        <v>10831.47</v>
      </c>
      <c r="BP4" s="5">
        <v>8266.18</v>
      </c>
      <c r="BQ4" s="5">
        <v>9167.02</v>
      </c>
      <c r="BR4" s="5">
        <v>9669.44</v>
      </c>
      <c r="BU4" s="5">
        <v>10242.91</v>
      </c>
      <c r="BV4" s="5">
        <v>11692.81</v>
      </c>
      <c r="BW4" s="5">
        <v>9011.84</v>
      </c>
      <c r="BX4" s="5">
        <v>12974.65</v>
      </c>
      <c r="BY4" s="5">
        <v>9620.69</v>
      </c>
      <c r="BZ4" s="60">
        <v>8029.47</v>
      </c>
      <c r="CA4" s="60">
        <v>12713.62</v>
      </c>
      <c r="CB4" s="60">
        <v>9857.3700000000008</v>
      </c>
      <c r="CC4" s="60">
        <v>7500.1</v>
      </c>
      <c r="CD4" s="60">
        <v>10425.84</v>
      </c>
      <c r="CE4" s="60">
        <v>9545.68</v>
      </c>
      <c r="DC4" s="5">
        <v>8960.41</v>
      </c>
      <c r="DD4" s="5">
        <v>10124.030000000001</v>
      </c>
      <c r="DE4" s="6">
        <v>17295.7</v>
      </c>
      <c r="DF4" s="8">
        <v>11533.36</v>
      </c>
      <c r="DH4" s="5">
        <v>10994.14</v>
      </c>
      <c r="DJ4" s="6">
        <v>8752.1200000000008</v>
      </c>
      <c r="DK4" s="5">
        <v>11626.95</v>
      </c>
      <c r="DL4" s="7">
        <v>8228.8799999999992</v>
      </c>
      <c r="DM4" s="5">
        <v>5085.2299999999996</v>
      </c>
      <c r="DN4" s="5">
        <v>6034.64</v>
      </c>
      <c r="DO4" s="5">
        <v>4229.79</v>
      </c>
      <c r="DR4" s="5">
        <v>6114.52</v>
      </c>
      <c r="DS4" s="5">
        <v>5214.2299999999996</v>
      </c>
      <c r="DT4" s="5">
        <v>6483.23</v>
      </c>
      <c r="DU4" s="5">
        <v>4914.8999999999996</v>
      </c>
      <c r="DV4" s="5">
        <v>6489.31</v>
      </c>
      <c r="DW4" s="5">
        <v>5875.4</v>
      </c>
      <c r="DX4" s="5">
        <v>5770.04</v>
      </c>
      <c r="DY4" s="5">
        <v>3453.38</v>
      </c>
      <c r="DZ4" s="6">
        <v>5126.2700000000004</v>
      </c>
      <c r="EA4" s="68">
        <v>10319.61</v>
      </c>
      <c r="EB4" s="5">
        <v>4003.37</v>
      </c>
      <c r="EC4" s="5">
        <v>10532.87</v>
      </c>
      <c r="ED4" s="5">
        <v>8371.39</v>
      </c>
      <c r="EE4" s="5">
        <v>5250.65</v>
      </c>
      <c r="EF4" s="5">
        <v>7291.74</v>
      </c>
      <c r="EG4" s="5">
        <v>7585.5</v>
      </c>
      <c r="EH4" s="5">
        <v>8781.7199999999993</v>
      </c>
      <c r="EI4" s="5">
        <v>15314.17</v>
      </c>
      <c r="EJ4" s="5">
        <v>6217.05</v>
      </c>
      <c r="EK4" s="5">
        <v>6911.16</v>
      </c>
      <c r="EL4" s="5">
        <v>6126.94</v>
      </c>
      <c r="EM4" s="5">
        <v>8317.6200000000008</v>
      </c>
      <c r="EN4" s="80">
        <f>1687.25+691.67+190.33+981.92+65+320.02+500+130+1604.25+201.69+113.09+49.5+36.49+325+150.09+278+151.2+25.2+13</f>
        <v>7513.7</v>
      </c>
      <c r="EO4" s="80">
        <f>1687.25+691.67+190.33+981.92+320.02+130+320.02+65+29.7+307.02+162.94+124+65.9+150+3219.89+221.53+117.21+133.58+98</f>
        <v>9015.98</v>
      </c>
      <c r="EP4" s="80">
        <v>6627.57</v>
      </c>
      <c r="EQ4" s="80">
        <f>1721+691.67+190.33+981.92+130+328.56+130+328.56+50+315.11+1519.5+57+339.12+18.62+722.82+176.4+29.4+13+48.09+445+9.8+113.33</f>
        <v>8359.2299999999977</v>
      </c>
      <c r="ER4" s="80">
        <f>1721+691.67+190.33+981.92+130+328.56+28.5+325+50+130+328.56+124.1+65.92+375+511.37+84.76+630.22+146.03+114.75+1095.55</f>
        <v>8053.2400000000007</v>
      </c>
      <c r="ES4" s="80">
        <f>1721+691.67+190.33+981.92+130+315.56+195+328.56+44.02+244.83+300+18.62+125+100+68.25+251.56+113.33+871.85+1554.5+259.81+18.62+65+25+92.4</f>
        <v>8706.83</v>
      </c>
      <c r="ET4" s="80">
        <f>1721+691.67+190.33+981.92+65+328.56+130+328.56+59.33+319.27+18.62+328.56+72.86+75+150+733.53+180.6+30.1+13+75+1464.1+251.18+113.15</f>
        <v>8321.34</v>
      </c>
      <c r="EU4" s="80">
        <f>1721+691.67+190.33+981.92+130+351.65+130+328.56+130+166.87+60+176.2+113.15+40.96</f>
        <v>5212.3099999999995</v>
      </c>
      <c r="EV4" s="80">
        <f>1721+691.67+190.33+981.92+130+328.56+300+100+328.56+50+75+18.62+45.5+130+328.56+159.42+1364.5+125+6.7+50.92+18.62+100+628.74+75+442+112.82+259.25+114.56+10+30+79.2</f>
        <v>8996.4499999999989</v>
      </c>
      <c r="EW4" s="5">
        <v>5796.5000000000009</v>
      </c>
      <c r="EX4" s="5">
        <v>8048.1500000000005</v>
      </c>
      <c r="EY4" s="5">
        <v>5964.75</v>
      </c>
      <c r="EZ4" s="5">
        <v>9754.85</v>
      </c>
      <c r="FA4" s="5">
        <v>14004.600000000002</v>
      </c>
      <c r="FB4" s="5">
        <v>6555.89</v>
      </c>
      <c r="FC4" s="5">
        <v>8032.4100000000008</v>
      </c>
      <c r="FD4" s="5">
        <v>6295.8300000000008</v>
      </c>
      <c r="FE4" s="5">
        <v>4685.5599999999995</v>
      </c>
      <c r="FF4" s="5">
        <v>8883.5600000000013</v>
      </c>
      <c r="FG4" s="5">
        <v>6056.82</v>
      </c>
      <c r="FH4" s="5">
        <v>5904.5999999999995</v>
      </c>
      <c r="FI4" s="5">
        <v>4946.0800000000008</v>
      </c>
      <c r="FJ4" s="5">
        <v>9765.3100000000013</v>
      </c>
      <c r="FK4" s="5">
        <v>3576.99</v>
      </c>
      <c r="FL4" s="5">
        <v>4910.76</v>
      </c>
      <c r="FM4" s="5">
        <v>5841.02</v>
      </c>
    </row>
    <row r="5" spans="1:169" s="5" customFormat="1" x14ac:dyDescent="0.25">
      <c r="A5" s="5" t="s">
        <v>2</v>
      </c>
      <c r="B5" s="5">
        <f t="shared" ref="B5:Z5" si="2">B3-B4</f>
        <v>0</v>
      </c>
      <c r="C5" s="5">
        <f t="shared" si="2"/>
        <v>0</v>
      </c>
      <c r="D5" s="5">
        <f t="shared" si="2"/>
        <v>0</v>
      </c>
      <c r="E5" s="5">
        <f t="shared" si="2"/>
        <v>0</v>
      </c>
      <c r="F5" s="5">
        <f t="shared" si="2"/>
        <v>4843.58</v>
      </c>
      <c r="G5" s="5">
        <f t="shared" si="2"/>
        <v>0</v>
      </c>
      <c r="H5" s="5">
        <f t="shared" si="2"/>
        <v>0</v>
      </c>
      <c r="I5" s="5">
        <f t="shared" si="2"/>
        <v>0</v>
      </c>
      <c r="J5" s="5">
        <f t="shared" si="2"/>
        <v>-3160.2800000000007</v>
      </c>
      <c r="K5" s="5">
        <f t="shared" si="2"/>
        <v>0</v>
      </c>
      <c r="L5" s="5">
        <f t="shared" si="2"/>
        <v>4052.89</v>
      </c>
      <c r="M5" s="5">
        <f t="shared" si="2"/>
        <v>-1931.2900000000009</v>
      </c>
      <c r="N5" s="5">
        <f t="shared" si="2"/>
        <v>0</v>
      </c>
      <c r="O5" s="5">
        <f t="shared" si="2"/>
        <v>1684.48</v>
      </c>
      <c r="P5" s="5">
        <f t="shared" si="2"/>
        <v>-256.69999999999982</v>
      </c>
      <c r="Q5" s="5">
        <f t="shared" si="2"/>
        <v>0</v>
      </c>
      <c r="R5" s="5">
        <f t="shared" si="2"/>
        <v>-1190.6599999999999</v>
      </c>
      <c r="S5" s="5">
        <f t="shared" si="2"/>
        <v>1169.17</v>
      </c>
      <c r="T5" s="5">
        <f t="shared" si="2"/>
        <v>1726.21</v>
      </c>
      <c r="U5" s="5">
        <f t="shared" si="2"/>
        <v>3158.35</v>
      </c>
      <c r="V5" s="5">
        <f t="shared" si="2"/>
        <v>-634.60999999999967</v>
      </c>
      <c r="W5" s="5">
        <f t="shared" si="2"/>
        <v>767.72000000000025</v>
      </c>
      <c r="X5" s="5">
        <f t="shared" si="2"/>
        <v>125.84000000000015</v>
      </c>
      <c r="Y5" s="5">
        <f t="shared" si="2"/>
        <v>3131.6400000000003</v>
      </c>
      <c r="Z5" s="5">
        <f t="shared" si="2"/>
        <v>-3245.33</v>
      </c>
      <c r="AA5" s="5">
        <f t="shared" ref="AA5:AV5" si="3">AA3-AA4</f>
        <v>-110.64000000000033</v>
      </c>
      <c r="AB5" s="5">
        <f t="shared" si="3"/>
        <v>631.57999999999902</v>
      </c>
      <c r="AC5" s="5">
        <f t="shared" si="3"/>
        <v>-6881.6900000000005</v>
      </c>
      <c r="AD5" s="5">
        <f t="shared" si="3"/>
        <v>-208.47000000000025</v>
      </c>
      <c r="AE5" s="5">
        <f t="shared" si="3"/>
        <v>-2314.6200000000008</v>
      </c>
      <c r="AF5" s="5">
        <f t="shared" si="3"/>
        <v>967.1200000000008</v>
      </c>
      <c r="AG5" s="5">
        <f t="shared" si="3"/>
        <v>-2118.6000000000004</v>
      </c>
      <c r="AH5" s="5">
        <f t="shared" si="3"/>
        <v>1815.630000000001</v>
      </c>
      <c r="AI5" s="5">
        <f t="shared" si="3"/>
        <v>-3671.2499999999991</v>
      </c>
      <c r="AJ5" s="5">
        <f t="shared" si="3"/>
        <v>4052.2800000000007</v>
      </c>
      <c r="AK5" s="5">
        <f t="shared" si="3"/>
        <v>-523.95999999999913</v>
      </c>
      <c r="AL5" s="5">
        <f t="shared" si="3"/>
        <v>0</v>
      </c>
      <c r="AM5" s="5">
        <f t="shared" si="3"/>
        <v>0</v>
      </c>
      <c r="AN5" s="5">
        <f t="shared" si="3"/>
        <v>0</v>
      </c>
      <c r="AO5" s="5">
        <f t="shared" si="3"/>
        <v>0</v>
      </c>
      <c r="AP5" s="5">
        <f t="shared" si="3"/>
        <v>0</v>
      </c>
      <c r="AQ5" s="5">
        <f t="shared" si="3"/>
        <v>0</v>
      </c>
      <c r="AR5" s="5">
        <f t="shared" si="3"/>
        <v>0</v>
      </c>
      <c r="AS5" s="5">
        <f t="shared" si="3"/>
        <v>0</v>
      </c>
      <c r="AT5" s="5">
        <f t="shared" si="3"/>
        <v>0</v>
      </c>
      <c r="AU5" s="5">
        <f t="shared" si="3"/>
        <v>0</v>
      </c>
      <c r="AV5" s="5">
        <f t="shared" si="3"/>
        <v>0</v>
      </c>
      <c r="AW5" s="5">
        <f t="shared" ref="AW5:AX5" si="4">AW3-AW4</f>
        <v>0</v>
      </c>
      <c r="AX5" s="5">
        <f t="shared" si="4"/>
        <v>3272.1400000000012</v>
      </c>
      <c r="AY5" s="5">
        <f t="shared" ref="AY5" si="5">AY3-AY4</f>
        <v>-2988.4799999999996</v>
      </c>
      <c r="AZ5" s="5">
        <f t="shared" ref="AZ5" si="6">AZ3-AZ4</f>
        <v>3827.08</v>
      </c>
      <c r="BA5" s="5">
        <f t="shared" ref="BA5" si="7">BA3-BA4</f>
        <v>-2743.34</v>
      </c>
      <c r="BB5" s="5">
        <f t="shared" ref="BB5" si="8">BB3-BB4</f>
        <v>-2029.8500000000004</v>
      </c>
      <c r="BC5" s="5">
        <f t="shared" ref="BC5" si="9">BC3-BC4</f>
        <v>0</v>
      </c>
      <c r="BD5" s="5">
        <f t="shared" ref="BD5" si="10">BD3-BD4</f>
        <v>-842.52999999999975</v>
      </c>
      <c r="BE5" s="5">
        <f t="shared" ref="BE5" si="11">BE3-BE4</f>
        <v>1671.2399999999998</v>
      </c>
      <c r="BF5" s="5">
        <f t="shared" ref="BF5" si="12">BF3-BF4</f>
        <v>-1736.2299999999996</v>
      </c>
      <c r="BG5" s="5">
        <f t="shared" ref="BG5" si="13">BG3-BG4</f>
        <v>2017</v>
      </c>
      <c r="BH5" s="5">
        <f t="shared" ref="BH5" si="14">BH3-BH4</f>
        <v>1602.0299999999997</v>
      </c>
      <c r="BI5" s="5">
        <f t="shared" ref="BI5" si="15">BI3-BI4</f>
        <v>-616.60999999999876</v>
      </c>
      <c r="BJ5" s="5">
        <f t="shared" ref="BJ5" si="16">BJ3-BJ4</f>
        <v>2010.7600000000002</v>
      </c>
      <c r="BK5" s="5">
        <f t="shared" ref="BK5" si="17">BK3-BK4</f>
        <v>-3563.41</v>
      </c>
      <c r="BL5" s="5">
        <f t="shared" ref="BL5" si="18">BL3-BL4</f>
        <v>820.11999999999898</v>
      </c>
      <c r="BM5" s="5">
        <f t="shared" ref="BM5" si="19">BM3-BM4</f>
        <v>1144.8400000000001</v>
      </c>
      <c r="BN5" s="5">
        <f t="shared" ref="BN5" si="20">BN3-BN4</f>
        <v>2003.1000000000004</v>
      </c>
      <c r="BO5" s="5">
        <f t="shared" ref="BO5" si="21">BO3-BO4</f>
        <v>-3156.9599999999991</v>
      </c>
      <c r="BP5" s="5">
        <f t="shared" ref="BP5" si="22">BP3-BP4</f>
        <v>1008.3199999999997</v>
      </c>
      <c r="BQ5" s="5">
        <f t="shared" ref="BQ5" si="23">BQ3-BQ4</f>
        <v>-1570.0200000000004</v>
      </c>
      <c r="BR5" s="5">
        <f t="shared" ref="BR5" si="24">BR3-BR4</f>
        <v>-1787.5900000000001</v>
      </c>
      <c r="BS5" s="5">
        <f t="shared" ref="BS5" si="25">BS3-BS4</f>
        <v>0</v>
      </c>
      <c r="BT5" s="5">
        <f t="shared" ref="BT5" si="26">BT3-BT4</f>
        <v>0</v>
      </c>
      <c r="BU5" s="5">
        <f t="shared" ref="BU5" si="27">BU3-BU4</f>
        <v>143.34000000000015</v>
      </c>
      <c r="BV5" s="5">
        <f t="shared" ref="BV5" si="28">BV3-BV4</f>
        <v>-2064.0599999999995</v>
      </c>
      <c r="BW5" s="5">
        <f t="shared" ref="BW5" si="29">BW3-BW4</f>
        <v>278.90999999999985</v>
      </c>
      <c r="BX5" s="5">
        <f t="shared" ref="BX5" si="30">BX3-BX4</f>
        <v>-328.48999999999978</v>
      </c>
      <c r="BY5" s="5">
        <f t="shared" ref="BY5" si="31">BY3-BY4</f>
        <v>841.30999999999949</v>
      </c>
      <c r="BZ5" s="5">
        <f t="shared" ref="BZ5" si="32">BZ3-BZ4</f>
        <v>2411.13</v>
      </c>
      <c r="CA5" s="5">
        <f t="shared" ref="CA5" si="33">CA3-CA4</f>
        <v>-2850.1200000000008</v>
      </c>
      <c r="CB5" s="5">
        <f t="shared" ref="CB5" si="34">CB3-CB4</f>
        <v>-517.47000000000116</v>
      </c>
      <c r="CC5" s="5">
        <f t="shared" ref="CC5" si="35">CC3-CC4</f>
        <v>738.64999999999964</v>
      </c>
      <c r="CD5" s="5">
        <f t="shared" ref="CD5" si="36">CD3-CD4</f>
        <v>-294.34000000000015</v>
      </c>
      <c r="CE5" s="5">
        <f t="shared" ref="CE5" si="37">CE3-CE4</f>
        <v>359.71999999999935</v>
      </c>
      <c r="CF5" s="5">
        <f t="shared" ref="CF5" si="38">CF3-CF4</f>
        <v>0</v>
      </c>
      <c r="CG5" s="5">
        <f t="shared" ref="CG5" si="39">CG3-CG4</f>
        <v>0</v>
      </c>
      <c r="CH5" s="5">
        <f t="shared" ref="CH5" si="40">CH3-CH4</f>
        <v>0</v>
      </c>
      <c r="CI5" s="5">
        <f t="shared" ref="CI5" si="41">CI3-CI4</f>
        <v>0</v>
      </c>
      <c r="CJ5" s="5">
        <f t="shared" ref="CJ5" si="42">CJ3-CJ4</f>
        <v>0</v>
      </c>
      <c r="CK5" s="5">
        <f t="shared" ref="CK5" si="43">CK3-CK4</f>
        <v>0</v>
      </c>
      <c r="CL5" s="5">
        <f t="shared" ref="CL5" si="44">CL3-CL4</f>
        <v>0</v>
      </c>
      <c r="CM5" s="5">
        <f t="shared" ref="CM5" si="45">CM3-CM4</f>
        <v>0</v>
      </c>
      <c r="CN5" s="5">
        <f t="shared" ref="CN5" si="46">CN3-CN4</f>
        <v>0</v>
      </c>
      <c r="CO5" s="5">
        <f t="shared" ref="CO5" si="47">CO3-CO4</f>
        <v>0</v>
      </c>
      <c r="CP5" s="5">
        <f t="shared" ref="CP5" si="48">CP3-CP4</f>
        <v>0</v>
      </c>
      <c r="CQ5" s="5">
        <f t="shared" ref="CQ5" si="49">CQ3-CQ4</f>
        <v>0</v>
      </c>
      <c r="CR5" s="5">
        <f t="shared" ref="CR5" si="50">CR3-CR4</f>
        <v>0</v>
      </c>
      <c r="CS5" s="5">
        <f t="shared" ref="CS5" si="51">CS3-CS4</f>
        <v>0</v>
      </c>
      <c r="CT5" s="5">
        <f t="shared" ref="CT5" si="52">CT3-CT4</f>
        <v>0</v>
      </c>
      <c r="CU5" s="5">
        <f t="shared" ref="CU5" si="53">CU3-CU4</f>
        <v>0</v>
      </c>
      <c r="CV5" s="5">
        <f t="shared" ref="CV5" si="54">CV3-CV4</f>
        <v>0</v>
      </c>
      <c r="CW5" s="5">
        <f t="shared" ref="CW5" si="55">CW3-CW4</f>
        <v>0</v>
      </c>
      <c r="CX5" s="5">
        <f t="shared" ref="CX5" si="56">CX3-CX4</f>
        <v>0</v>
      </c>
      <c r="CY5" s="5">
        <f t="shared" ref="CY5" si="57">CY3-CY4</f>
        <v>0</v>
      </c>
      <c r="CZ5" s="5">
        <f t="shared" ref="CZ5" si="58">CZ3-CZ4</f>
        <v>0</v>
      </c>
      <c r="DA5" s="5">
        <f t="shared" ref="DA5" si="59">DA3-DA4</f>
        <v>0</v>
      </c>
      <c r="DB5" s="5">
        <f t="shared" ref="DB5" si="60">DB3-DB4</f>
        <v>0</v>
      </c>
      <c r="DC5" s="5">
        <f t="shared" ref="DC5" si="61">DC3-DC4</f>
        <v>49.940000000000509</v>
      </c>
      <c r="DD5" s="5">
        <f t="shared" ref="DD5" si="62">DD3-DD4</f>
        <v>310.21999999999935</v>
      </c>
      <c r="DE5" s="5">
        <f t="shared" ref="DE5" si="63">DE3-DE4</f>
        <v>-359.15999999999985</v>
      </c>
      <c r="DF5" s="5">
        <f t="shared" ref="DF5:DQ5" si="64">DF3-DF4</f>
        <v>124.13999999999942</v>
      </c>
      <c r="DG5" s="5">
        <f t="shared" si="64"/>
        <v>0</v>
      </c>
      <c r="DH5" s="5">
        <f t="shared" si="64"/>
        <v>541.86000000000058</v>
      </c>
      <c r="DI5" s="5">
        <f t="shared" si="64"/>
        <v>0</v>
      </c>
      <c r="DJ5" s="5">
        <f t="shared" si="64"/>
        <v>-9.9200000000000728</v>
      </c>
      <c r="DK5" s="5">
        <f t="shared" si="64"/>
        <v>-138.95000000000073</v>
      </c>
      <c r="DL5" s="5">
        <f t="shared" si="64"/>
        <v>188.13000000000102</v>
      </c>
      <c r="DM5" s="5">
        <f t="shared" si="64"/>
        <v>2229.2700000000004</v>
      </c>
      <c r="DN5" s="5">
        <f t="shared" si="64"/>
        <v>1101.3599999999997</v>
      </c>
      <c r="DO5" s="5">
        <f t="shared" si="64"/>
        <v>2875.2300000000005</v>
      </c>
      <c r="DP5" s="5">
        <f t="shared" si="64"/>
        <v>0</v>
      </c>
      <c r="DQ5" s="5">
        <f t="shared" si="64"/>
        <v>0</v>
      </c>
      <c r="DR5" s="5">
        <f>DR3-DR4</f>
        <v>-1022.5200000000004</v>
      </c>
      <c r="DS5" s="5">
        <f t="shared" ref="DS5:FM5" si="65">DS3-DS4</f>
        <v>2539.2800000000007</v>
      </c>
      <c r="DT5" s="5">
        <f t="shared" si="65"/>
        <v>1982.5900000000001</v>
      </c>
      <c r="DU5" s="5">
        <f t="shared" si="65"/>
        <v>394.60000000000036</v>
      </c>
      <c r="DV5" s="5">
        <f t="shared" si="65"/>
        <v>514.6899999999996</v>
      </c>
      <c r="DW5" s="5">
        <f t="shared" si="65"/>
        <v>4740.2000000000007</v>
      </c>
      <c r="DX5" s="5">
        <f t="shared" si="65"/>
        <v>1031.96</v>
      </c>
      <c r="DY5" s="5">
        <f t="shared" si="65"/>
        <v>2069.62</v>
      </c>
      <c r="DZ5" s="5">
        <f t="shared" si="65"/>
        <v>790.22999999999956</v>
      </c>
      <c r="EA5" s="5">
        <f t="shared" si="65"/>
        <v>-2446.3300000000008</v>
      </c>
      <c r="EB5" s="5">
        <f t="shared" si="65"/>
        <v>4163.63</v>
      </c>
      <c r="EC5" s="5">
        <f t="shared" si="65"/>
        <v>-745.3700000000008</v>
      </c>
      <c r="ED5" s="5">
        <f t="shared" ref="ED5:EO5" si="66">ED3-ED4</f>
        <v>-850.13999999999942</v>
      </c>
      <c r="EE5" s="5">
        <f t="shared" si="66"/>
        <v>2251.8500000000004</v>
      </c>
      <c r="EF5" s="5">
        <f t="shared" si="66"/>
        <v>-627.07999999999993</v>
      </c>
      <c r="EG5" s="5">
        <f t="shared" si="66"/>
        <v>881</v>
      </c>
      <c r="EH5" s="5">
        <f t="shared" si="66"/>
        <v>-2932.7199999999993</v>
      </c>
      <c r="EI5" s="5">
        <f t="shared" si="66"/>
        <v>-861.3700000000008</v>
      </c>
      <c r="EJ5" s="5">
        <f t="shared" si="66"/>
        <v>-749.05000000000018</v>
      </c>
      <c r="EK5" s="5">
        <f t="shared" si="66"/>
        <v>-482.39999999999964</v>
      </c>
      <c r="EL5" s="5">
        <f t="shared" si="66"/>
        <v>-1245.9399999999996</v>
      </c>
      <c r="EM5" s="5">
        <f t="shared" si="66"/>
        <v>-902.75000000000091</v>
      </c>
      <c r="EN5" s="5">
        <f t="shared" si="66"/>
        <v>-1581.6999999999998</v>
      </c>
      <c r="EO5" s="5">
        <f t="shared" si="66"/>
        <v>2180.0300000000007</v>
      </c>
      <c r="EP5" s="5">
        <f t="shared" si="65"/>
        <v>-1426.5699999999997</v>
      </c>
      <c r="EQ5" s="5">
        <f t="shared" si="65"/>
        <v>-3978.2699999999977</v>
      </c>
      <c r="ER5" s="5">
        <f t="shared" si="65"/>
        <v>238.75999999999931</v>
      </c>
      <c r="ES5" s="5">
        <f t="shared" si="65"/>
        <v>-1992.83</v>
      </c>
      <c r="ET5" s="5">
        <f t="shared" si="65"/>
        <v>-979.34000000000015</v>
      </c>
      <c r="EU5" s="5">
        <f t="shared" si="65"/>
        <v>-209.05999999999949</v>
      </c>
      <c r="EV5" s="5">
        <f t="shared" si="65"/>
        <v>-3212.4499999999989</v>
      </c>
      <c r="EW5" s="5">
        <f t="shared" si="65"/>
        <v>-798.00000000000091</v>
      </c>
      <c r="EX5" s="5">
        <f t="shared" si="65"/>
        <v>-2116.4900000000007</v>
      </c>
      <c r="EY5" s="5">
        <f t="shared" si="65"/>
        <v>143.25</v>
      </c>
      <c r="EZ5" s="5">
        <f t="shared" si="65"/>
        <v>308.07999999999993</v>
      </c>
      <c r="FA5" s="5">
        <f t="shared" si="65"/>
        <v>1757.3999999999978</v>
      </c>
      <c r="FB5" s="5">
        <f t="shared" si="65"/>
        <v>-557.98000000000047</v>
      </c>
      <c r="FC5" s="5">
        <f t="shared" si="65"/>
        <v>835.54999999999836</v>
      </c>
      <c r="FD5" s="5">
        <f t="shared" si="65"/>
        <v>182.16999999999916</v>
      </c>
      <c r="FE5" s="5">
        <f t="shared" si="65"/>
        <v>1738.0500000000002</v>
      </c>
      <c r="FF5" s="5">
        <f t="shared" si="65"/>
        <v>-2745.0000000000018</v>
      </c>
      <c r="FG5" s="5">
        <f t="shared" si="65"/>
        <v>1413.6400000000003</v>
      </c>
      <c r="FH5" s="5">
        <f t="shared" si="65"/>
        <v>-1260.5999999999995</v>
      </c>
      <c r="FI5" s="5">
        <f t="shared" si="65"/>
        <v>900.53999999999905</v>
      </c>
      <c r="FJ5" s="5">
        <f t="shared" si="65"/>
        <v>-1633.0600000000013</v>
      </c>
      <c r="FK5" s="5">
        <f t="shared" si="65"/>
        <v>1239.0500000000002</v>
      </c>
      <c r="FL5" s="5">
        <f t="shared" si="65"/>
        <v>678.86999999999989</v>
      </c>
      <c r="FM5" s="5">
        <f t="shared" si="65"/>
        <v>3284.6299999999992</v>
      </c>
    </row>
    <row r="6" spans="1:169" s="5" customFormat="1" x14ac:dyDescent="0.25"/>
    <row r="7" spans="1:169" s="5" customFormat="1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</row>
    <row r="8" spans="1:169" s="5" customFormat="1" ht="18.75" x14ac:dyDescent="0.3">
      <c r="A8" s="5" t="s">
        <v>1</v>
      </c>
      <c r="F8" s="65">
        <v>3499.55</v>
      </c>
      <c r="J8" s="66">
        <v>195</v>
      </c>
      <c r="L8" s="66">
        <v>200</v>
      </c>
      <c r="M8" s="66">
        <v>176</v>
      </c>
      <c r="O8" s="66">
        <v>218</v>
      </c>
      <c r="P8" s="66">
        <v>194</v>
      </c>
      <c r="R8" s="65">
        <v>3388.35</v>
      </c>
      <c r="S8" s="66">
        <v>187</v>
      </c>
      <c r="T8" s="66">
        <v>244</v>
      </c>
      <c r="U8" s="66">
        <v>197</v>
      </c>
      <c r="V8" s="65">
        <v>4110</v>
      </c>
      <c r="W8" s="65">
        <v>5787.7</v>
      </c>
      <c r="X8" s="66">
        <v>196</v>
      </c>
      <c r="Y8" s="66">
        <v>256</v>
      </c>
      <c r="Z8" s="66">
        <v>213</v>
      </c>
      <c r="AA8" s="66">
        <v>210</v>
      </c>
      <c r="AB8" s="66">
        <v>229</v>
      </c>
      <c r="AC8" s="66">
        <v>195</v>
      </c>
      <c r="AD8" s="65">
        <v>3572.3</v>
      </c>
      <c r="AE8" s="66">
        <v>185</v>
      </c>
      <c r="AF8" s="66">
        <v>192.3</v>
      </c>
      <c r="AG8" s="66">
        <v>175</v>
      </c>
      <c r="AH8" s="66">
        <v>200</v>
      </c>
      <c r="AI8" s="65">
        <v>5976.85</v>
      </c>
      <c r="AJ8" s="66">
        <v>220</v>
      </c>
      <c r="AK8" s="66">
        <v>170</v>
      </c>
      <c r="AX8" s="5">
        <v>259</v>
      </c>
      <c r="AY8" s="5">
        <v>249</v>
      </c>
      <c r="AZ8" s="5">
        <v>1494.23</v>
      </c>
      <c r="BA8" s="5">
        <v>6696.81</v>
      </c>
      <c r="BB8" s="5">
        <v>15716</v>
      </c>
      <c r="BD8" s="5">
        <v>349</v>
      </c>
      <c r="BE8" s="5">
        <v>201</v>
      </c>
      <c r="BF8" s="5">
        <v>203</v>
      </c>
      <c r="BG8" s="5">
        <v>7157.7</v>
      </c>
      <c r="BH8" s="5">
        <v>215</v>
      </c>
      <c r="BI8" s="5">
        <v>301</v>
      </c>
      <c r="BJ8" s="5">
        <v>301</v>
      </c>
      <c r="BK8" s="5">
        <v>1169</v>
      </c>
      <c r="BL8" s="5">
        <v>3711</v>
      </c>
      <c r="BM8" s="5">
        <v>5189</v>
      </c>
      <c r="BN8" s="5">
        <v>2215.5</v>
      </c>
      <c r="BO8" s="5">
        <v>11967.9</v>
      </c>
      <c r="BP8" s="5">
        <v>255</v>
      </c>
      <c r="BQ8" s="5">
        <v>1214.78</v>
      </c>
      <c r="BR8" s="5">
        <v>438.5</v>
      </c>
      <c r="BU8" s="5">
        <v>1419</v>
      </c>
      <c r="BV8" s="5">
        <v>265.98</v>
      </c>
      <c r="BW8" s="5">
        <v>230</v>
      </c>
      <c r="BX8" s="5">
        <v>3181</v>
      </c>
      <c r="BY8" s="5">
        <v>6299.25</v>
      </c>
      <c r="BZ8" s="61">
        <v>171</v>
      </c>
      <c r="CA8" s="60">
        <v>2142.5</v>
      </c>
      <c r="CB8" s="61">
        <v>372</v>
      </c>
      <c r="CC8" s="61">
        <v>135</v>
      </c>
      <c r="CD8" s="61">
        <v>194</v>
      </c>
      <c r="CE8" s="60">
        <v>15827</v>
      </c>
      <c r="DC8" s="5">
        <v>10702.95</v>
      </c>
      <c r="DD8" s="5">
        <v>4208.5</v>
      </c>
      <c r="DE8" s="6">
        <v>306</v>
      </c>
      <c r="DF8" s="5">
        <v>5301</v>
      </c>
      <c r="DH8" s="5">
        <v>155</v>
      </c>
      <c r="DJ8" s="6">
        <v>220</v>
      </c>
      <c r="DK8" s="5">
        <v>130</v>
      </c>
      <c r="DL8" s="7">
        <v>125</v>
      </c>
      <c r="DM8" s="5">
        <v>8909</v>
      </c>
      <c r="DN8" s="5">
        <v>1478.2</v>
      </c>
      <c r="DO8" s="5">
        <v>7955</v>
      </c>
      <c r="DR8" s="5">
        <v>120</v>
      </c>
      <c r="DS8" s="5">
        <v>230</v>
      </c>
      <c r="DT8" s="5">
        <v>184</v>
      </c>
      <c r="DU8" s="5">
        <v>6312</v>
      </c>
      <c r="DV8" s="5">
        <v>304.75</v>
      </c>
      <c r="DW8" s="5">
        <v>5093</v>
      </c>
      <c r="DX8" s="5">
        <v>2264</v>
      </c>
      <c r="DY8" s="5">
        <v>4054</v>
      </c>
      <c r="DZ8" s="6">
        <v>400</v>
      </c>
      <c r="EA8" s="68">
        <v>15083</v>
      </c>
      <c r="EB8" s="5">
        <v>3779.5</v>
      </c>
      <c r="EC8" s="5">
        <v>6165</v>
      </c>
      <c r="ED8" s="5">
        <v>320</v>
      </c>
      <c r="EE8" s="5">
        <v>110</v>
      </c>
      <c r="EF8" s="5">
        <v>500</v>
      </c>
      <c r="EG8" s="5">
        <v>2360.65</v>
      </c>
      <c r="EH8" s="5">
        <v>6166.58</v>
      </c>
      <c r="EI8" s="5">
        <v>1707</v>
      </c>
      <c r="EJ8" s="5">
        <v>326</v>
      </c>
      <c r="EK8" s="5">
        <v>899</v>
      </c>
      <c r="EL8" s="5">
        <v>110</v>
      </c>
      <c r="EM8" s="5">
        <v>7050.84</v>
      </c>
      <c r="EN8" s="79">
        <f>100+2986+348.5</f>
        <v>3434.5</v>
      </c>
      <c r="EO8" s="79">
        <f>10+135+133.58+98</f>
        <v>376.58000000000004</v>
      </c>
      <c r="EP8" s="79">
        <v>181</v>
      </c>
      <c r="EQ8" s="79">
        <f>260+9.8</f>
        <v>269.8</v>
      </c>
      <c r="ER8" s="79">
        <f>10+100+10</f>
        <v>120</v>
      </c>
      <c r="ES8" s="79">
        <f>100+1554.5+259.81+20+18.62+65</f>
        <v>2017.9299999999998</v>
      </c>
      <c r="ET8" s="79">
        <f>5875+120+10+22</f>
        <v>6027</v>
      </c>
      <c r="EU8" s="79">
        <f>100+30+5</f>
        <v>135</v>
      </c>
      <c r="EV8" s="79">
        <f>10+100+112.82</f>
        <v>222.82</v>
      </c>
      <c r="EW8" s="5">
        <v>827.06</v>
      </c>
      <c r="EX8" s="5">
        <v>100</v>
      </c>
      <c r="EY8" s="5">
        <v>6883.25</v>
      </c>
      <c r="EZ8" s="5">
        <v>2953</v>
      </c>
      <c r="FA8" s="5">
        <v>3552</v>
      </c>
      <c r="FB8" s="5">
        <v>115</v>
      </c>
      <c r="FC8" s="5">
        <v>1335</v>
      </c>
      <c r="FD8" s="5">
        <v>206</v>
      </c>
      <c r="FE8" s="5">
        <v>127</v>
      </c>
      <c r="FF8" s="5">
        <v>4315.09</v>
      </c>
      <c r="FG8" s="5">
        <v>223.65</v>
      </c>
      <c r="FH8" s="5">
        <v>100</v>
      </c>
      <c r="FI8" s="5">
        <v>100</v>
      </c>
      <c r="FJ8" s="5">
        <v>217.04000000000002</v>
      </c>
      <c r="FK8" s="5">
        <v>7970.5</v>
      </c>
      <c r="FL8" s="5">
        <v>304</v>
      </c>
      <c r="FM8" s="5">
        <v>286</v>
      </c>
    </row>
    <row r="9" spans="1:169" s="5" customFormat="1" ht="18.75" x14ac:dyDescent="0.3">
      <c r="A9" s="5" t="s">
        <v>0</v>
      </c>
      <c r="F9" s="65">
        <v>3309.79</v>
      </c>
      <c r="J9" s="66">
        <v>998.13</v>
      </c>
      <c r="L9" s="65">
        <v>3033.01</v>
      </c>
      <c r="M9" s="65">
        <v>1025.6300000000001</v>
      </c>
      <c r="O9" s="66">
        <v>153.13999999999999</v>
      </c>
      <c r="P9" s="65">
        <v>1029.31</v>
      </c>
      <c r="R9" s="66">
        <v>204.09</v>
      </c>
      <c r="S9" s="65">
        <v>1764.93</v>
      </c>
      <c r="T9" s="65">
        <v>1581.01</v>
      </c>
      <c r="U9" s="66">
        <v>150</v>
      </c>
      <c r="V9" s="65">
        <v>4891.49</v>
      </c>
      <c r="W9" s="65">
        <v>4300.5</v>
      </c>
      <c r="X9" s="65">
        <v>1291.07</v>
      </c>
      <c r="Y9" s="65">
        <v>1503.38</v>
      </c>
      <c r="Z9" s="66">
        <v>682</v>
      </c>
      <c r="AA9" s="66">
        <v>397.27</v>
      </c>
      <c r="AB9" s="65">
        <v>1068.33</v>
      </c>
      <c r="AD9" s="66">
        <v>362.09</v>
      </c>
      <c r="AE9" s="65">
        <v>3364.05</v>
      </c>
      <c r="AF9" s="66">
        <v>189.39</v>
      </c>
      <c r="AG9" s="65">
        <v>1450.58</v>
      </c>
      <c r="AH9" s="65">
        <v>1083.56</v>
      </c>
      <c r="AI9" s="65">
        <v>3980.97</v>
      </c>
      <c r="AJ9" s="66">
        <v>23.78</v>
      </c>
      <c r="AK9" s="65">
        <v>1109.4000000000001</v>
      </c>
      <c r="AX9" s="5">
        <v>127.45</v>
      </c>
      <c r="AY9" s="5">
        <v>533.9</v>
      </c>
      <c r="AZ9" s="5">
        <v>2705.97</v>
      </c>
      <c r="BA9" s="5">
        <v>472.98</v>
      </c>
      <c r="BB9" s="5">
        <v>12095.82</v>
      </c>
      <c r="BD9" s="5">
        <v>3971.58</v>
      </c>
      <c r="BE9" s="5">
        <v>3162.18</v>
      </c>
      <c r="BF9" s="5">
        <v>2254</v>
      </c>
      <c r="BG9" s="5">
        <v>3221.16</v>
      </c>
      <c r="BH9" s="5">
        <v>1533.01</v>
      </c>
      <c r="BI9" s="5">
        <v>2709.64</v>
      </c>
      <c r="BJ9" s="5">
        <v>2709.64</v>
      </c>
      <c r="BK9" s="5">
        <v>375</v>
      </c>
      <c r="BL9" s="5">
        <v>6115.46</v>
      </c>
      <c r="BM9" s="5">
        <v>1029.43</v>
      </c>
      <c r="BN9" s="5">
        <v>3729.39</v>
      </c>
      <c r="BO9" s="5">
        <v>8435.4500000000007</v>
      </c>
      <c r="BP9" s="5">
        <v>2775</v>
      </c>
      <c r="BQ9" s="5">
        <v>103.35</v>
      </c>
      <c r="BR9" s="5">
        <v>4913.13</v>
      </c>
      <c r="BU9" s="5">
        <v>2703.16</v>
      </c>
      <c r="BV9" s="5">
        <v>2021</v>
      </c>
      <c r="BX9" s="5">
        <v>2089.56</v>
      </c>
      <c r="BY9" s="5">
        <v>2615.9699999999998</v>
      </c>
      <c r="BZ9" s="60">
        <v>3579.29</v>
      </c>
      <c r="CA9" s="60">
        <v>3531.84</v>
      </c>
      <c r="CB9" s="61">
        <v>750</v>
      </c>
      <c r="CC9" s="61">
        <v>150</v>
      </c>
      <c r="CE9" s="60">
        <v>4632.45</v>
      </c>
      <c r="DC9" s="5">
        <v>3766.91</v>
      </c>
      <c r="DD9" s="5">
        <v>7367.37</v>
      </c>
      <c r="DE9" s="6">
        <v>2700</v>
      </c>
      <c r="DF9" s="5">
        <v>2900</v>
      </c>
      <c r="DH9" s="5">
        <v>399.7</v>
      </c>
      <c r="DJ9" s="6">
        <v>225</v>
      </c>
      <c r="DK9" s="5">
        <v>125</v>
      </c>
      <c r="DM9" s="5">
        <v>5642.4</v>
      </c>
      <c r="DN9" s="5">
        <v>370.5</v>
      </c>
      <c r="DO9" s="5">
        <v>1928.32</v>
      </c>
      <c r="DU9" s="5">
        <v>2303.1999999999998</v>
      </c>
      <c r="DV9" s="5">
        <v>542.63</v>
      </c>
      <c r="DX9" s="5">
        <v>7100</v>
      </c>
      <c r="DY9" s="5">
        <v>3314.38</v>
      </c>
      <c r="EA9" s="68">
        <v>10263.41</v>
      </c>
      <c r="EB9" s="5">
        <v>750.33</v>
      </c>
      <c r="EC9" s="5">
        <v>6050</v>
      </c>
      <c r="EE9" s="5">
        <v>95.39</v>
      </c>
      <c r="EF9" s="5">
        <v>3331.85</v>
      </c>
      <c r="EG9" s="5">
        <v>293.14999999999998</v>
      </c>
      <c r="EH9" s="5">
        <v>2979.08</v>
      </c>
      <c r="EI9" s="5">
        <v>3767.53</v>
      </c>
      <c r="EJ9" s="5">
        <v>0</v>
      </c>
      <c r="EK9" s="5">
        <v>163.47999999999999</v>
      </c>
      <c r="EL9" s="5">
        <v>330.08</v>
      </c>
      <c r="EM9" s="5">
        <v>2335.23</v>
      </c>
      <c r="EN9" s="80">
        <f>56.67+356.37+305.46+37.84</f>
        <v>756.34</v>
      </c>
      <c r="EO9" s="80">
        <f>20.64+53.58+98+133.58+519</f>
        <v>824.8</v>
      </c>
      <c r="EP9" s="5">
        <v>0</v>
      </c>
      <c r="EQ9" s="5">
        <v>0</v>
      </c>
      <c r="ER9" s="80">
        <f>259.81+1554.5+18.62</f>
        <v>1832.9299999999998</v>
      </c>
      <c r="ES9" s="80">
        <f>45.23</f>
        <v>45.23</v>
      </c>
      <c r="ET9" s="80">
        <f>65+183+1691.45+9.95+45</f>
        <v>1994.4</v>
      </c>
      <c r="EU9" s="80">
        <f>37.82+31.5</f>
        <v>69.319999999999993</v>
      </c>
      <c r="EV9" s="80">
        <f>100+200</f>
        <v>300</v>
      </c>
      <c r="EW9" s="5">
        <v>167.09</v>
      </c>
      <c r="EX9" s="5">
        <v>0</v>
      </c>
      <c r="EY9" s="5">
        <v>244</v>
      </c>
      <c r="EZ9" s="5">
        <v>3935.72</v>
      </c>
      <c r="FA9" s="5">
        <v>3125</v>
      </c>
      <c r="FB9" s="5">
        <v>2435.67</v>
      </c>
      <c r="FC9" s="5">
        <v>1981.2300000000002</v>
      </c>
      <c r="FD9" s="5">
        <v>543.99</v>
      </c>
      <c r="FE9" s="5">
        <v>2180.77</v>
      </c>
      <c r="FF9" s="5">
        <v>5045.55</v>
      </c>
      <c r="FG9" s="5">
        <v>3430.3100000000004</v>
      </c>
      <c r="FH9" s="5">
        <v>628.12</v>
      </c>
      <c r="FI9" s="5">
        <v>512.36</v>
      </c>
      <c r="FJ9" s="5">
        <v>395.70000000000005</v>
      </c>
      <c r="FK9" s="5">
        <v>2221.4</v>
      </c>
      <c r="FL9" s="5">
        <v>2386.7400000000002</v>
      </c>
      <c r="FM9" s="5">
        <v>2918</v>
      </c>
    </row>
    <row r="10" spans="1:169" s="5" customFormat="1" x14ac:dyDescent="0.25">
      <c r="A10" s="5" t="s">
        <v>2</v>
      </c>
      <c r="B10" s="5">
        <f t="shared" ref="B10:Z10" si="67">B8-B9</f>
        <v>0</v>
      </c>
      <c r="C10" s="5">
        <f t="shared" si="67"/>
        <v>0</v>
      </c>
      <c r="D10" s="5">
        <f t="shared" si="67"/>
        <v>0</v>
      </c>
      <c r="E10" s="5">
        <f t="shared" si="67"/>
        <v>0</v>
      </c>
      <c r="F10" s="5">
        <f t="shared" si="67"/>
        <v>189.76000000000022</v>
      </c>
      <c r="G10" s="5">
        <f t="shared" si="67"/>
        <v>0</v>
      </c>
      <c r="H10" s="5">
        <f t="shared" si="67"/>
        <v>0</v>
      </c>
      <c r="I10" s="5">
        <f t="shared" si="67"/>
        <v>0</v>
      </c>
      <c r="J10" s="5">
        <f t="shared" si="67"/>
        <v>-803.13</v>
      </c>
      <c r="K10" s="5">
        <f t="shared" si="67"/>
        <v>0</v>
      </c>
      <c r="L10" s="5">
        <f t="shared" si="67"/>
        <v>-2833.01</v>
      </c>
      <c r="M10" s="5">
        <f t="shared" si="67"/>
        <v>-849.63000000000011</v>
      </c>
      <c r="N10" s="5">
        <f t="shared" si="67"/>
        <v>0</v>
      </c>
      <c r="O10" s="5">
        <f t="shared" si="67"/>
        <v>64.860000000000014</v>
      </c>
      <c r="P10" s="5">
        <f t="shared" si="67"/>
        <v>-835.31</v>
      </c>
      <c r="Q10" s="5">
        <f t="shared" si="67"/>
        <v>0</v>
      </c>
      <c r="R10" s="5">
        <f t="shared" si="67"/>
        <v>3184.2599999999998</v>
      </c>
      <c r="S10" s="5">
        <f t="shared" si="67"/>
        <v>-1577.93</v>
      </c>
      <c r="T10" s="5">
        <f t="shared" si="67"/>
        <v>-1337.01</v>
      </c>
      <c r="U10" s="5">
        <f t="shared" si="67"/>
        <v>47</v>
      </c>
      <c r="V10" s="5">
        <f t="shared" si="67"/>
        <v>-781.48999999999978</v>
      </c>
      <c r="W10" s="5">
        <f t="shared" si="67"/>
        <v>1487.1999999999998</v>
      </c>
      <c r="X10" s="5">
        <f t="shared" si="67"/>
        <v>-1095.07</v>
      </c>
      <c r="Y10" s="5">
        <f t="shared" si="67"/>
        <v>-1247.3800000000001</v>
      </c>
      <c r="Z10" s="5">
        <f t="shared" si="67"/>
        <v>-469</v>
      </c>
      <c r="AA10" s="5">
        <f t="shared" ref="AA10:AV10" si="68">AA8-AA9</f>
        <v>-187.26999999999998</v>
      </c>
      <c r="AB10" s="5">
        <f t="shared" si="68"/>
        <v>-839.32999999999993</v>
      </c>
      <c r="AC10" s="5">
        <f t="shared" si="68"/>
        <v>195</v>
      </c>
      <c r="AD10" s="5">
        <f t="shared" si="68"/>
        <v>3210.21</v>
      </c>
      <c r="AE10" s="5">
        <f t="shared" si="68"/>
        <v>-3179.05</v>
      </c>
      <c r="AF10" s="5">
        <f t="shared" si="68"/>
        <v>2.910000000000025</v>
      </c>
      <c r="AG10" s="5">
        <f t="shared" si="68"/>
        <v>-1275.58</v>
      </c>
      <c r="AH10" s="5">
        <f t="shared" si="68"/>
        <v>-883.56</v>
      </c>
      <c r="AI10" s="5">
        <f t="shared" si="68"/>
        <v>1995.8800000000006</v>
      </c>
      <c r="AJ10" s="5">
        <f t="shared" si="68"/>
        <v>196.22</v>
      </c>
      <c r="AK10" s="5">
        <f t="shared" si="68"/>
        <v>-939.40000000000009</v>
      </c>
      <c r="AL10" s="5">
        <f t="shared" si="68"/>
        <v>0</v>
      </c>
      <c r="AM10" s="5">
        <f t="shared" si="68"/>
        <v>0</v>
      </c>
      <c r="AN10" s="5">
        <f t="shared" si="68"/>
        <v>0</v>
      </c>
      <c r="AO10" s="5">
        <f t="shared" si="68"/>
        <v>0</v>
      </c>
      <c r="AP10" s="5">
        <f t="shared" si="68"/>
        <v>0</v>
      </c>
      <c r="AQ10" s="5">
        <f t="shared" si="68"/>
        <v>0</v>
      </c>
      <c r="AR10" s="5">
        <f t="shared" si="68"/>
        <v>0</v>
      </c>
      <c r="AS10" s="5">
        <f t="shared" si="68"/>
        <v>0</v>
      </c>
      <c r="AT10" s="5">
        <f t="shared" si="68"/>
        <v>0</v>
      </c>
      <c r="AU10" s="5">
        <f t="shared" si="68"/>
        <v>0</v>
      </c>
      <c r="AV10" s="5">
        <f t="shared" si="68"/>
        <v>0</v>
      </c>
      <c r="AW10" s="5">
        <f t="shared" ref="AW10:AX10" si="69">AW8-AW9</f>
        <v>0</v>
      </c>
      <c r="AX10" s="5">
        <f t="shared" si="69"/>
        <v>131.55000000000001</v>
      </c>
      <c r="AY10" s="5">
        <f t="shared" ref="AY10" si="70">AY8-AY9</f>
        <v>-284.89999999999998</v>
      </c>
      <c r="AZ10" s="5">
        <f t="shared" ref="AZ10" si="71">AZ8-AZ9</f>
        <v>-1211.7399999999998</v>
      </c>
      <c r="BA10" s="5">
        <f t="shared" ref="BA10" si="72">BA8-BA9</f>
        <v>6223.83</v>
      </c>
      <c r="BB10" s="5">
        <f t="shared" ref="BB10" si="73">BB8-BB9</f>
        <v>3620.1800000000003</v>
      </c>
      <c r="BC10" s="5">
        <f t="shared" ref="BC10" si="74">BC8-BC9</f>
        <v>0</v>
      </c>
      <c r="BD10" s="5">
        <f t="shared" ref="BD10" si="75">BD8-BD9</f>
        <v>-3622.58</v>
      </c>
      <c r="BE10" s="5">
        <f t="shared" ref="BE10" si="76">BE8-BE9</f>
        <v>-2961.18</v>
      </c>
      <c r="BF10" s="5">
        <f t="shared" ref="BF10" si="77">BF8-BF9</f>
        <v>-2051</v>
      </c>
      <c r="BG10" s="5">
        <f t="shared" ref="BG10" si="78">BG8-BG9</f>
        <v>3936.54</v>
      </c>
      <c r="BH10" s="5">
        <f t="shared" ref="BH10" si="79">BH8-BH9</f>
        <v>-1318.01</v>
      </c>
      <c r="BI10" s="5">
        <f t="shared" ref="BI10" si="80">BI8-BI9</f>
        <v>-2408.64</v>
      </c>
      <c r="BJ10" s="5">
        <f t="shared" ref="BJ10" si="81">BJ8-BJ9</f>
        <v>-2408.64</v>
      </c>
      <c r="BK10" s="5">
        <f t="shared" ref="BK10" si="82">BK8-BK9</f>
        <v>794</v>
      </c>
      <c r="BL10" s="5">
        <f t="shared" ref="BL10" si="83">BL8-BL9</f>
        <v>-2404.46</v>
      </c>
      <c r="BM10" s="5">
        <f t="shared" ref="BM10" si="84">BM8-BM9</f>
        <v>4159.57</v>
      </c>
      <c r="BN10" s="5">
        <f t="shared" ref="BN10" si="85">BN8-BN9</f>
        <v>-1513.8899999999999</v>
      </c>
      <c r="BO10" s="5">
        <f t="shared" ref="BO10" si="86">BO8-BO9</f>
        <v>3532.4499999999989</v>
      </c>
      <c r="BP10" s="5">
        <f t="shared" ref="BP10" si="87">BP8-BP9</f>
        <v>-2520</v>
      </c>
      <c r="BQ10" s="5">
        <f t="shared" ref="BQ10" si="88">BQ8-BQ9</f>
        <v>1111.43</v>
      </c>
      <c r="BR10" s="5">
        <f t="shared" ref="BR10" si="89">BR8-BR9</f>
        <v>-4474.63</v>
      </c>
      <c r="BS10" s="5">
        <f t="shared" ref="BS10" si="90">BS8-BS9</f>
        <v>0</v>
      </c>
      <c r="BT10" s="5">
        <f t="shared" ref="BT10" si="91">BT8-BT9</f>
        <v>0</v>
      </c>
      <c r="BU10" s="5">
        <f t="shared" ref="BU10" si="92">BU8-BU9</f>
        <v>-1284.1599999999999</v>
      </c>
      <c r="BV10" s="5">
        <f t="shared" ref="BV10" si="93">BV8-BV9</f>
        <v>-1755.02</v>
      </c>
      <c r="BW10" s="5">
        <f t="shared" ref="BW10" si="94">BW8-BW9</f>
        <v>230</v>
      </c>
      <c r="BX10" s="5">
        <f t="shared" ref="BX10" si="95">BX8-BX9</f>
        <v>1091.44</v>
      </c>
      <c r="BY10" s="5">
        <f t="shared" ref="BY10" si="96">BY8-BY9</f>
        <v>3683.28</v>
      </c>
      <c r="BZ10" s="5">
        <f t="shared" ref="BZ10" si="97">BZ8-BZ9</f>
        <v>-3408.29</v>
      </c>
      <c r="CA10" s="5">
        <f t="shared" ref="CA10" si="98">CA8-CA9</f>
        <v>-1389.3400000000001</v>
      </c>
      <c r="CB10" s="5">
        <f t="shared" ref="CB10" si="99">CB8-CB9</f>
        <v>-378</v>
      </c>
      <c r="CC10" s="5">
        <f t="shared" ref="CC10" si="100">CC8-CC9</f>
        <v>-15</v>
      </c>
      <c r="CD10" s="5">
        <f t="shared" ref="CD10" si="101">CD8-CD9</f>
        <v>194</v>
      </c>
      <c r="CE10" s="5">
        <f t="shared" ref="CE10" si="102">CE8-CE9</f>
        <v>11194.55</v>
      </c>
      <c r="CF10" s="5">
        <f t="shared" ref="CF10" si="103">CF8-CF9</f>
        <v>0</v>
      </c>
      <c r="CG10" s="5">
        <f t="shared" ref="CG10" si="104">CG8-CG9</f>
        <v>0</v>
      </c>
      <c r="CH10" s="5">
        <f t="shared" ref="CH10" si="105">CH8-CH9</f>
        <v>0</v>
      </c>
      <c r="CI10" s="5">
        <f t="shared" ref="CI10" si="106">CI8-CI9</f>
        <v>0</v>
      </c>
      <c r="CJ10" s="5">
        <f t="shared" ref="CJ10" si="107">CJ8-CJ9</f>
        <v>0</v>
      </c>
      <c r="CK10" s="5">
        <f t="shared" ref="CK10" si="108">CK8-CK9</f>
        <v>0</v>
      </c>
      <c r="CL10" s="5">
        <f t="shared" ref="CL10" si="109">CL8-CL9</f>
        <v>0</v>
      </c>
      <c r="CM10" s="5">
        <f t="shared" ref="CM10" si="110">CM8-CM9</f>
        <v>0</v>
      </c>
      <c r="CN10" s="5">
        <f t="shared" ref="CN10" si="111">CN8-CN9</f>
        <v>0</v>
      </c>
      <c r="CO10" s="5">
        <f t="shared" ref="CO10" si="112">CO8-CO9</f>
        <v>0</v>
      </c>
      <c r="CP10" s="5">
        <f t="shared" ref="CP10" si="113">CP8-CP9</f>
        <v>0</v>
      </c>
      <c r="CQ10" s="5">
        <f t="shared" ref="CQ10" si="114">CQ8-CQ9</f>
        <v>0</v>
      </c>
      <c r="CR10" s="5">
        <f t="shared" ref="CR10" si="115">CR8-CR9</f>
        <v>0</v>
      </c>
      <c r="CS10" s="5">
        <f t="shared" ref="CS10" si="116">CS8-CS9</f>
        <v>0</v>
      </c>
      <c r="CT10" s="5">
        <f t="shared" ref="CT10" si="117">CT8-CT9</f>
        <v>0</v>
      </c>
      <c r="CU10" s="5">
        <f t="shared" ref="CU10" si="118">CU8-CU9</f>
        <v>0</v>
      </c>
      <c r="CV10" s="5">
        <f t="shared" ref="CV10" si="119">CV8-CV9</f>
        <v>0</v>
      </c>
      <c r="CW10" s="5">
        <f t="shared" ref="CW10" si="120">CW8-CW9</f>
        <v>0</v>
      </c>
      <c r="CX10" s="5">
        <f t="shared" ref="CX10" si="121">CX8-CX9</f>
        <v>0</v>
      </c>
      <c r="CY10" s="5">
        <f t="shared" ref="CY10" si="122">CY8-CY9</f>
        <v>0</v>
      </c>
      <c r="CZ10" s="5">
        <f t="shared" ref="CZ10" si="123">CZ8-CZ9</f>
        <v>0</v>
      </c>
      <c r="DA10" s="5">
        <f t="shared" ref="DA10" si="124">DA8-DA9</f>
        <v>0</v>
      </c>
      <c r="DB10" s="5">
        <f t="shared" ref="DB10" si="125">DB8-DB9</f>
        <v>0</v>
      </c>
      <c r="DC10" s="5">
        <f t="shared" ref="DC10" si="126">DC8-DC9</f>
        <v>6936.0400000000009</v>
      </c>
      <c r="DD10" s="5">
        <f t="shared" ref="DD10" si="127">DD8-DD9</f>
        <v>-3158.87</v>
      </c>
      <c r="DE10" s="5">
        <f t="shared" ref="DE10" si="128">DE8-DE9</f>
        <v>-2394</v>
      </c>
      <c r="DF10" s="5">
        <f t="shared" ref="DF10:DQ10" si="129">DF8-DF9</f>
        <v>2401</v>
      </c>
      <c r="DG10" s="5">
        <f t="shared" si="129"/>
        <v>0</v>
      </c>
      <c r="DH10" s="5">
        <f t="shared" si="129"/>
        <v>-244.7</v>
      </c>
      <c r="DI10" s="5">
        <f t="shared" si="129"/>
        <v>0</v>
      </c>
      <c r="DJ10" s="5">
        <f t="shared" si="129"/>
        <v>-5</v>
      </c>
      <c r="DK10" s="5">
        <f t="shared" si="129"/>
        <v>5</v>
      </c>
      <c r="DL10" s="5">
        <f t="shared" si="129"/>
        <v>125</v>
      </c>
      <c r="DM10" s="5">
        <f t="shared" si="129"/>
        <v>3266.6000000000004</v>
      </c>
      <c r="DN10" s="5">
        <f t="shared" si="129"/>
        <v>1107.7</v>
      </c>
      <c r="DO10" s="5">
        <f t="shared" si="129"/>
        <v>6026.68</v>
      </c>
      <c r="DP10" s="5">
        <f t="shared" si="129"/>
        <v>0</v>
      </c>
      <c r="DQ10" s="5">
        <f t="shared" si="129"/>
        <v>0</v>
      </c>
      <c r="DR10" s="5">
        <f>DR8-DR9</f>
        <v>120</v>
      </c>
      <c r="DS10" s="5">
        <f t="shared" ref="DS10:EP10" si="130">DS8-DS9</f>
        <v>230</v>
      </c>
      <c r="DT10" s="5">
        <f t="shared" si="130"/>
        <v>184</v>
      </c>
      <c r="DU10" s="5">
        <f t="shared" si="130"/>
        <v>4008.8</v>
      </c>
      <c r="DV10" s="5">
        <f t="shared" si="130"/>
        <v>-237.88</v>
      </c>
      <c r="DW10" s="5">
        <f t="shared" si="130"/>
        <v>5093</v>
      </c>
      <c r="DX10" s="5">
        <f t="shared" si="130"/>
        <v>-4836</v>
      </c>
      <c r="DY10" s="5">
        <f t="shared" si="130"/>
        <v>739.61999999999989</v>
      </c>
      <c r="DZ10" s="5">
        <f t="shared" si="130"/>
        <v>400</v>
      </c>
      <c r="EA10" s="5">
        <f t="shared" si="130"/>
        <v>4819.59</v>
      </c>
      <c r="EB10" s="5">
        <f t="shared" si="130"/>
        <v>3029.17</v>
      </c>
      <c r="EC10" s="5">
        <f t="shared" si="130"/>
        <v>115</v>
      </c>
      <c r="ED10" s="5">
        <f t="shared" ref="ED10:EO10" si="131">ED8-ED9</f>
        <v>320</v>
      </c>
      <c r="EE10" s="5">
        <f t="shared" si="131"/>
        <v>14.61</v>
      </c>
      <c r="EF10" s="5">
        <f t="shared" si="131"/>
        <v>-2831.85</v>
      </c>
      <c r="EG10" s="5">
        <f t="shared" si="131"/>
        <v>2067.5</v>
      </c>
      <c r="EH10" s="5">
        <f t="shared" si="131"/>
        <v>3187.5</v>
      </c>
      <c r="EI10" s="5">
        <f t="shared" si="131"/>
        <v>-2060.5300000000002</v>
      </c>
      <c r="EJ10" s="5">
        <f t="shared" si="131"/>
        <v>326</v>
      </c>
      <c r="EK10" s="5">
        <f t="shared" si="131"/>
        <v>735.52</v>
      </c>
      <c r="EL10" s="5">
        <f t="shared" si="131"/>
        <v>-220.07999999999998</v>
      </c>
      <c r="EM10" s="5">
        <f t="shared" si="131"/>
        <v>4715.6100000000006</v>
      </c>
      <c r="EN10" s="5">
        <f t="shared" si="131"/>
        <v>2678.16</v>
      </c>
      <c r="EO10" s="5">
        <f t="shared" si="131"/>
        <v>-448.21999999999991</v>
      </c>
      <c r="EP10" s="5">
        <f t="shared" si="130"/>
        <v>181</v>
      </c>
      <c r="EQ10" s="5">
        <f t="shared" ref="EQ10:FM10" si="132">EQ8-EQ9</f>
        <v>269.8</v>
      </c>
      <c r="ER10" s="5">
        <f t="shared" si="132"/>
        <v>-1712.9299999999998</v>
      </c>
      <c r="ES10" s="5">
        <f t="shared" si="132"/>
        <v>1972.6999999999998</v>
      </c>
      <c r="ET10" s="5">
        <f t="shared" si="132"/>
        <v>4032.6</v>
      </c>
      <c r="EU10" s="5">
        <f t="shared" si="132"/>
        <v>65.680000000000007</v>
      </c>
      <c r="EV10" s="5">
        <f t="shared" si="132"/>
        <v>-77.180000000000007</v>
      </c>
      <c r="EW10" s="5">
        <f t="shared" si="132"/>
        <v>659.96999999999991</v>
      </c>
      <c r="EX10" s="5">
        <f t="shared" si="132"/>
        <v>100</v>
      </c>
      <c r="EY10" s="5">
        <f t="shared" si="132"/>
        <v>6639.25</v>
      </c>
      <c r="EZ10" s="5">
        <f t="shared" si="132"/>
        <v>-982.7199999999998</v>
      </c>
      <c r="FA10" s="5">
        <f t="shared" si="132"/>
        <v>427</v>
      </c>
      <c r="FB10" s="5">
        <f t="shared" si="132"/>
        <v>-2320.67</v>
      </c>
      <c r="FC10" s="5">
        <f t="shared" si="132"/>
        <v>-646.23000000000025</v>
      </c>
      <c r="FD10" s="5">
        <f t="shared" si="132"/>
        <v>-337.99</v>
      </c>
      <c r="FE10" s="5">
        <f t="shared" si="132"/>
        <v>-2053.77</v>
      </c>
      <c r="FF10" s="5">
        <f t="shared" si="132"/>
        <v>-730.46</v>
      </c>
      <c r="FG10" s="5">
        <f t="shared" si="132"/>
        <v>-3206.6600000000003</v>
      </c>
      <c r="FH10" s="5">
        <f t="shared" si="132"/>
        <v>-528.12</v>
      </c>
      <c r="FI10" s="5">
        <f t="shared" si="132"/>
        <v>-412.36</v>
      </c>
      <c r="FJ10" s="5">
        <f t="shared" si="132"/>
        <v>-178.66000000000003</v>
      </c>
      <c r="FK10" s="5">
        <f t="shared" si="132"/>
        <v>5749.1</v>
      </c>
      <c r="FL10" s="5">
        <f t="shared" si="132"/>
        <v>-2082.7400000000002</v>
      </c>
      <c r="FM10" s="5">
        <f t="shared" si="132"/>
        <v>-2632</v>
      </c>
    </row>
    <row r="11" spans="1:169" s="5" customFormat="1" x14ac:dyDescent="0.25"/>
    <row r="12" spans="1:169" s="5" customFormat="1" x14ac:dyDescent="0.25">
      <c r="A12" s="4" t="s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</row>
    <row r="13" spans="1:169" s="5" customFormat="1" ht="18.75" x14ac:dyDescent="0.3">
      <c r="A13" s="5" t="s">
        <v>1</v>
      </c>
      <c r="F13" s="66">
        <v>555.74</v>
      </c>
      <c r="J13" s="66">
        <v>3.74</v>
      </c>
      <c r="L13" s="66">
        <v>624.04999999999995</v>
      </c>
      <c r="M13" s="66">
        <v>2.2999999999999998</v>
      </c>
      <c r="O13" s="66">
        <v>1.6</v>
      </c>
      <c r="P13" s="66">
        <v>1.24</v>
      </c>
      <c r="R13" s="65">
        <v>1001.23</v>
      </c>
      <c r="S13" s="66">
        <v>1.23</v>
      </c>
      <c r="T13" s="66">
        <v>1.23</v>
      </c>
      <c r="U13" s="66">
        <v>1.23</v>
      </c>
      <c r="V13" s="66">
        <v>51.17</v>
      </c>
      <c r="W13" s="65">
        <v>50008.05</v>
      </c>
      <c r="X13" s="66">
        <v>1.06</v>
      </c>
      <c r="Y13" s="66">
        <v>51.1</v>
      </c>
      <c r="Z13" s="67">
        <v>1.1100000000000001</v>
      </c>
      <c r="AA13" s="66">
        <v>0.69</v>
      </c>
      <c r="AB13" s="66">
        <v>507.05</v>
      </c>
      <c r="AC13" s="66">
        <v>10.49</v>
      </c>
      <c r="AD13" s="5">
        <v>0.45</v>
      </c>
      <c r="AE13" s="66">
        <v>0.44</v>
      </c>
      <c r="AF13" s="66">
        <v>100.46</v>
      </c>
      <c r="AG13" s="66">
        <v>25.47</v>
      </c>
      <c r="AH13" s="66">
        <v>55.47</v>
      </c>
      <c r="AI13" s="66">
        <v>225.49</v>
      </c>
      <c r="AJ13" s="66">
        <v>0.42</v>
      </c>
      <c r="AK13" s="66">
        <v>0.1</v>
      </c>
      <c r="AX13" s="5">
        <v>250.05</v>
      </c>
      <c r="AY13" s="5">
        <v>25.05</v>
      </c>
      <c r="AZ13" s="5">
        <v>0.06</v>
      </c>
      <c r="BA13" s="5">
        <v>25.06</v>
      </c>
      <c r="BB13" s="5">
        <v>3269.87</v>
      </c>
      <c r="BD13" s="5">
        <v>100.21</v>
      </c>
      <c r="BE13" s="5">
        <v>0.02</v>
      </c>
      <c r="BG13" s="5">
        <v>85.02</v>
      </c>
      <c r="BH13" s="5">
        <v>0.02</v>
      </c>
      <c r="BI13" s="5">
        <v>0.02</v>
      </c>
      <c r="BJ13" s="5">
        <v>0.02</v>
      </c>
      <c r="BK13" s="5">
        <v>0.02</v>
      </c>
      <c r="BL13" s="5">
        <v>25.02</v>
      </c>
      <c r="BM13" s="5">
        <v>2439.1999999999998</v>
      </c>
      <c r="BN13" s="5">
        <v>50.13</v>
      </c>
      <c r="BO13" s="5">
        <v>0.13</v>
      </c>
      <c r="BP13" s="5">
        <v>0.13</v>
      </c>
      <c r="BQ13" s="5">
        <v>0.13</v>
      </c>
      <c r="BR13" s="5">
        <v>0.13</v>
      </c>
      <c r="BU13" s="5">
        <v>0.13</v>
      </c>
      <c r="BV13" s="5">
        <v>0.13</v>
      </c>
      <c r="BW13" s="5">
        <v>0.09</v>
      </c>
      <c r="BX13" s="5">
        <v>2500</v>
      </c>
      <c r="BY13" s="5">
        <v>0.14000000000000001</v>
      </c>
      <c r="BZ13" s="61">
        <v>0.15</v>
      </c>
      <c r="CA13" s="61">
        <v>0.14000000000000001</v>
      </c>
      <c r="CB13" s="61">
        <v>0.15</v>
      </c>
      <c r="CC13" s="61">
        <v>0.14000000000000001</v>
      </c>
      <c r="CD13" s="61">
        <v>0.11</v>
      </c>
      <c r="CE13" s="61">
        <v>3000.12</v>
      </c>
      <c r="DC13" s="5">
        <v>0.05</v>
      </c>
      <c r="DD13" s="5">
        <v>0.04</v>
      </c>
      <c r="DE13" s="6">
        <v>0.04</v>
      </c>
      <c r="DF13" s="6">
        <v>0.04</v>
      </c>
      <c r="DH13" s="5">
        <v>395</v>
      </c>
      <c r="DJ13" s="6">
        <v>0.04</v>
      </c>
      <c r="DK13" s="5">
        <v>0.04</v>
      </c>
      <c r="DL13" s="7">
        <v>0.04</v>
      </c>
      <c r="DM13" s="5">
        <v>0.03</v>
      </c>
      <c r="DN13" s="5">
        <v>0.03</v>
      </c>
      <c r="DO13" s="5">
        <v>0.03</v>
      </c>
      <c r="DR13" s="5">
        <v>60.07</v>
      </c>
      <c r="DS13" s="5">
        <v>0.06</v>
      </c>
      <c r="DT13" s="5">
        <v>175.07</v>
      </c>
      <c r="DU13" s="5">
        <v>230.07</v>
      </c>
      <c r="DV13" s="5">
        <v>7.0000000000000007E-2</v>
      </c>
      <c r="DW13" s="5">
        <v>0.06</v>
      </c>
      <c r="DX13" s="5">
        <v>0.06</v>
      </c>
      <c r="DY13" s="5">
        <v>0.05</v>
      </c>
      <c r="DZ13" s="6">
        <v>175.05</v>
      </c>
      <c r="EA13" s="69">
        <v>0.05</v>
      </c>
      <c r="EB13" s="5">
        <v>0.05</v>
      </c>
      <c r="EC13" s="5">
        <v>100.05</v>
      </c>
      <c r="ED13" s="5">
        <v>0.05</v>
      </c>
      <c r="EE13" s="5">
        <v>0.05</v>
      </c>
      <c r="EF13" s="5">
        <v>0.05</v>
      </c>
      <c r="EG13" s="5">
        <v>0.05</v>
      </c>
      <c r="EH13" s="5">
        <v>0.05</v>
      </c>
      <c r="EI13" s="5">
        <v>0.05</v>
      </c>
      <c r="EJ13" s="5">
        <v>0.05</v>
      </c>
      <c r="EK13" s="5">
        <v>0.05</v>
      </c>
      <c r="EL13" s="5">
        <v>0.05</v>
      </c>
      <c r="EM13" s="5">
        <v>0.05</v>
      </c>
      <c r="EN13" s="5">
        <v>0.05</v>
      </c>
      <c r="EO13" s="80">
        <v>0.05</v>
      </c>
      <c r="EP13" s="5">
        <v>0.05</v>
      </c>
      <c r="EQ13" s="5">
        <v>545.04999999999995</v>
      </c>
      <c r="ER13" s="80">
        <f>0.06</f>
        <v>0.06</v>
      </c>
      <c r="ES13" s="80">
        <f>25.06</f>
        <v>25.06</v>
      </c>
      <c r="ET13" s="80">
        <f>30.06</f>
        <v>30.06</v>
      </c>
      <c r="EU13" s="80">
        <f>0.06</f>
        <v>0.06</v>
      </c>
      <c r="EV13" s="80">
        <f>0.06</f>
        <v>0.06</v>
      </c>
      <c r="EW13" s="5">
        <v>0.06</v>
      </c>
      <c r="EX13" s="5">
        <v>0.06</v>
      </c>
      <c r="EY13" s="5">
        <f>350+260+345+0.07</f>
        <v>955.07</v>
      </c>
      <c r="EZ13" s="5">
        <f>190+0.08</f>
        <v>190.08</v>
      </c>
      <c r="FA13" s="5">
        <v>200.08</v>
      </c>
      <c r="FB13" s="5">
        <v>825.08</v>
      </c>
      <c r="FC13" s="5">
        <v>0.08</v>
      </c>
      <c r="FD13" s="5">
        <v>185.1</v>
      </c>
      <c r="FE13" s="5">
        <v>0.1</v>
      </c>
      <c r="FF13" s="5">
        <v>0.1</v>
      </c>
      <c r="FG13" s="5">
        <v>0.1</v>
      </c>
      <c r="FH13" s="5">
        <v>0.1</v>
      </c>
      <c r="FI13" s="5">
        <v>0.1</v>
      </c>
      <c r="FJ13" s="5">
        <v>0.1</v>
      </c>
      <c r="FK13" s="5">
        <v>0.1</v>
      </c>
      <c r="FL13" s="5">
        <v>0.1</v>
      </c>
      <c r="FM13" s="5">
        <v>325.10000000000002</v>
      </c>
    </row>
    <row r="14" spans="1:169" s="5" customFormat="1" ht="18.75" x14ac:dyDescent="0.3">
      <c r="A14" s="5" t="s">
        <v>0</v>
      </c>
      <c r="L14" s="65">
        <v>3494.65</v>
      </c>
      <c r="R14" s="65">
        <v>1000</v>
      </c>
      <c r="W14" s="65">
        <v>50000</v>
      </c>
      <c r="AA14" s="65">
        <v>2128</v>
      </c>
      <c r="AJ14" s="65">
        <v>2047.6</v>
      </c>
      <c r="BD14" s="5">
        <v>2305</v>
      </c>
      <c r="BW14" s="5">
        <v>2000</v>
      </c>
      <c r="BX14" s="5">
        <v>100.08</v>
      </c>
      <c r="CC14" s="62">
        <v>95.65</v>
      </c>
      <c r="CD14" s="63">
        <v>3000</v>
      </c>
      <c r="CE14" s="61"/>
      <c r="DC14" s="5">
        <v>550</v>
      </c>
      <c r="DH14" s="5">
        <v>450</v>
      </c>
      <c r="DR14" s="5">
        <v>50</v>
      </c>
      <c r="EF14" s="5">
        <v>0</v>
      </c>
      <c r="EG14" s="5">
        <v>0</v>
      </c>
      <c r="EH14" s="5">
        <v>0</v>
      </c>
      <c r="EI14" s="5">
        <v>0</v>
      </c>
      <c r="EJ14" s="5">
        <v>0</v>
      </c>
      <c r="EK14" s="5">
        <v>0</v>
      </c>
      <c r="EL14" s="5">
        <v>0</v>
      </c>
      <c r="EM14" s="5">
        <v>0</v>
      </c>
      <c r="EN14" s="80">
        <f>174+27</f>
        <v>201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0</v>
      </c>
      <c r="EV14" s="5">
        <v>0</v>
      </c>
      <c r="EW14" s="5">
        <v>0</v>
      </c>
      <c r="EX14" s="5">
        <v>0</v>
      </c>
      <c r="EY14" s="5">
        <v>0</v>
      </c>
      <c r="EZ14" s="5">
        <v>0</v>
      </c>
      <c r="FA14" s="5">
        <v>0</v>
      </c>
      <c r="FB14" s="5">
        <v>0</v>
      </c>
      <c r="FC14" s="5">
        <v>0</v>
      </c>
      <c r="FD14" s="5">
        <v>0</v>
      </c>
      <c r="FE14" s="5">
        <v>0</v>
      </c>
      <c r="FF14" s="5">
        <v>0</v>
      </c>
      <c r="FG14" s="5">
        <v>0</v>
      </c>
      <c r="FH14" s="5">
        <v>0</v>
      </c>
      <c r="FI14" s="5">
        <v>0</v>
      </c>
      <c r="FJ14" s="5">
        <v>0</v>
      </c>
      <c r="FK14" s="5">
        <v>0</v>
      </c>
      <c r="FL14" s="5">
        <v>79.989999999999995</v>
      </c>
      <c r="FM14" s="5">
        <v>0</v>
      </c>
    </row>
    <row r="15" spans="1:169" s="5" customFormat="1" x14ac:dyDescent="0.25">
      <c r="A15" s="5" t="s">
        <v>2</v>
      </c>
      <c r="B15" s="5">
        <f t="shared" ref="B15:Z15" si="133">B13-B14</f>
        <v>0</v>
      </c>
      <c r="C15" s="5">
        <f t="shared" si="133"/>
        <v>0</v>
      </c>
      <c r="D15" s="5">
        <f t="shared" si="133"/>
        <v>0</v>
      </c>
      <c r="E15" s="5">
        <f t="shared" si="133"/>
        <v>0</v>
      </c>
      <c r="F15" s="5">
        <f t="shared" si="133"/>
        <v>555.74</v>
      </c>
      <c r="G15" s="5">
        <f t="shared" si="133"/>
        <v>0</v>
      </c>
      <c r="H15" s="5">
        <f t="shared" si="133"/>
        <v>0</v>
      </c>
      <c r="I15" s="5">
        <f t="shared" si="133"/>
        <v>0</v>
      </c>
      <c r="J15" s="5">
        <f t="shared" si="133"/>
        <v>3.74</v>
      </c>
      <c r="K15" s="5">
        <f t="shared" si="133"/>
        <v>0</v>
      </c>
      <c r="L15" s="5">
        <f t="shared" si="133"/>
        <v>-2870.6000000000004</v>
      </c>
      <c r="M15" s="5">
        <f t="shared" si="133"/>
        <v>2.2999999999999998</v>
      </c>
      <c r="N15" s="5">
        <f t="shared" si="133"/>
        <v>0</v>
      </c>
      <c r="O15" s="5">
        <f t="shared" si="133"/>
        <v>1.6</v>
      </c>
      <c r="P15" s="5">
        <f t="shared" si="133"/>
        <v>1.24</v>
      </c>
      <c r="Q15" s="5">
        <f t="shared" si="133"/>
        <v>0</v>
      </c>
      <c r="R15" s="5">
        <f t="shared" si="133"/>
        <v>1.2300000000000182</v>
      </c>
      <c r="S15" s="5">
        <f t="shared" si="133"/>
        <v>1.23</v>
      </c>
      <c r="T15" s="5">
        <f t="shared" si="133"/>
        <v>1.23</v>
      </c>
      <c r="U15" s="5">
        <f t="shared" si="133"/>
        <v>1.23</v>
      </c>
      <c r="V15" s="5">
        <f t="shared" si="133"/>
        <v>51.17</v>
      </c>
      <c r="W15" s="5">
        <f t="shared" si="133"/>
        <v>8.0500000000029104</v>
      </c>
      <c r="X15" s="5">
        <f t="shared" si="133"/>
        <v>1.06</v>
      </c>
      <c r="Y15" s="5">
        <f t="shared" si="133"/>
        <v>51.1</v>
      </c>
      <c r="Z15" s="5">
        <f t="shared" si="133"/>
        <v>1.1100000000000001</v>
      </c>
      <c r="AA15" s="5">
        <f t="shared" ref="AA15:AV15" si="134">AA13-AA14</f>
        <v>-2127.31</v>
      </c>
      <c r="AB15" s="5">
        <f t="shared" si="134"/>
        <v>507.05</v>
      </c>
      <c r="AC15" s="5">
        <f t="shared" si="134"/>
        <v>10.49</v>
      </c>
      <c r="AD15" s="5">
        <f t="shared" si="134"/>
        <v>0.45</v>
      </c>
      <c r="AE15" s="5">
        <f t="shared" si="134"/>
        <v>0.44</v>
      </c>
      <c r="AF15" s="5">
        <f t="shared" si="134"/>
        <v>100.46</v>
      </c>
      <c r="AG15" s="5">
        <f t="shared" si="134"/>
        <v>25.47</v>
      </c>
      <c r="AH15" s="5">
        <f t="shared" si="134"/>
        <v>55.47</v>
      </c>
      <c r="AI15" s="5">
        <f t="shared" si="134"/>
        <v>225.49</v>
      </c>
      <c r="AJ15" s="5">
        <f t="shared" si="134"/>
        <v>-2047.1799999999998</v>
      </c>
      <c r="AK15" s="5">
        <f t="shared" si="134"/>
        <v>0.1</v>
      </c>
      <c r="AL15" s="5">
        <f t="shared" si="134"/>
        <v>0</v>
      </c>
      <c r="AM15" s="5">
        <f t="shared" si="134"/>
        <v>0</v>
      </c>
      <c r="AN15" s="5">
        <f t="shared" si="134"/>
        <v>0</v>
      </c>
      <c r="AO15" s="5">
        <f t="shared" si="134"/>
        <v>0</v>
      </c>
      <c r="AP15" s="5">
        <f t="shared" si="134"/>
        <v>0</v>
      </c>
      <c r="AQ15" s="5">
        <f t="shared" si="134"/>
        <v>0</v>
      </c>
      <c r="AR15" s="5">
        <f t="shared" si="134"/>
        <v>0</v>
      </c>
      <c r="AS15" s="5">
        <f t="shared" si="134"/>
        <v>0</v>
      </c>
      <c r="AT15" s="5">
        <f t="shared" si="134"/>
        <v>0</v>
      </c>
      <c r="AU15" s="5">
        <f t="shared" si="134"/>
        <v>0</v>
      </c>
      <c r="AV15" s="5">
        <f t="shared" si="134"/>
        <v>0</v>
      </c>
      <c r="AW15" s="5">
        <f t="shared" ref="AW15:AX15" si="135">AW13-AW14</f>
        <v>0</v>
      </c>
      <c r="AX15" s="5">
        <f t="shared" si="135"/>
        <v>250.05</v>
      </c>
      <c r="AY15" s="5">
        <f t="shared" ref="AY15" si="136">AY13-AY14</f>
        <v>25.05</v>
      </c>
      <c r="AZ15" s="5">
        <f t="shared" ref="AZ15" si="137">AZ13-AZ14</f>
        <v>0.06</v>
      </c>
      <c r="BA15" s="5">
        <f t="shared" ref="BA15" si="138">BA13-BA14</f>
        <v>25.06</v>
      </c>
      <c r="BB15" s="5">
        <f t="shared" ref="BB15" si="139">BB13-BB14</f>
        <v>3269.87</v>
      </c>
      <c r="BC15" s="5">
        <f t="shared" ref="BC15" si="140">BC13-BC14</f>
        <v>0</v>
      </c>
      <c r="BD15" s="5">
        <f t="shared" ref="BD15" si="141">BD13-BD14</f>
        <v>-2204.79</v>
      </c>
      <c r="BE15" s="5">
        <f t="shared" ref="BE15" si="142">BE13-BE14</f>
        <v>0.02</v>
      </c>
      <c r="BF15" s="5">
        <f t="shared" ref="BF15" si="143">BF13-BF14</f>
        <v>0</v>
      </c>
      <c r="BG15" s="5">
        <f t="shared" ref="BG15" si="144">BG13-BG14</f>
        <v>85.02</v>
      </c>
      <c r="BH15" s="5">
        <f t="shared" ref="BH15" si="145">BH13-BH14</f>
        <v>0.02</v>
      </c>
      <c r="BI15" s="5">
        <f t="shared" ref="BI15" si="146">BI13-BI14</f>
        <v>0.02</v>
      </c>
      <c r="BJ15" s="5">
        <f t="shared" ref="BJ15" si="147">BJ13-BJ14</f>
        <v>0.02</v>
      </c>
      <c r="BK15" s="5">
        <f t="shared" ref="BK15" si="148">BK13-BK14</f>
        <v>0.02</v>
      </c>
      <c r="BL15" s="5">
        <f t="shared" ref="BL15" si="149">BL13-BL14</f>
        <v>25.02</v>
      </c>
      <c r="BM15" s="5">
        <f t="shared" ref="BM15" si="150">BM13-BM14</f>
        <v>2439.1999999999998</v>
      </c>
      <c r="BN15" s="5">
        <f t="shared" ref="BN15" si="151">BN13-BN14</f>
        <v>50.13</v>
      </c>
      <c r="BO15" s="5">
        <f t="shared" ref="BO15" si="152">BO13-BO14</f>
        <v>0.13</v>
      </c>
      <c r="BP15" s="5">
        <f t="shared" ref="BP15" si="153">BP13-BP14</f>
        <v>0.13</v>
      </c>
      <c r="BQ15" s="5">
        <f t="shared" ref="BQ15" si="154">BQ13-BQ14</f>
        <v>0.13</v>
      </c>
      <c r="BR15" s="5">
        <f t="shared" ref="BR15" si="155">BR13-BR14</f>
        <v>0.13</v>
      </c>
      <c r="BS15" s="5">
        <f t="shared" ref="BS15" si="156">BS13-BS14</f>
        <v>0</v>
      </c>
      <c r="BT15" s="5">
        <f t="shared" ref="BT15" si="157">BT13-BT14</f>
        <v>0</v>
      </c>
      <c r="BU15" s="5">
        <f t="shared" ref="BU15" si="158">BU13-BU14</f>
        <v>0.13</v>
      </c>
      <c r="BV15" s="5">
        <f t="shared" ref="BV15" si="159">BV13-BV14</f>
        <v>0.13</v>
      </c>
      <c r="BW15" s="5">
        <f t="shared" ref="BW15" si="160">BW13-BW14</f>
        <v>-1999.91</v>
      </c>
      <c r="BX15" s="5">
        <f t="shared" ref="BX15" si="161">BX13-BX14</f>
        <v>2399.92</v>
      </c>
      <c r="BY15" s="5">
        <f t="shared" ref="BY15" si="162">BY13-BY14</f>
        <v>0.14000000000000001</v>
      </c>
      <c r="BZ15" s="5">
        <f t="shared" ref="BZ15" si="163">BZ13-BZ14</f>
        <v>0.15</v>
      </c>
      <c r="CA15" s="5">
        <f t="shared" ref="CA15" si="164">CA13-CA14</f>
        <v>0.14000000000000001</v>
      </c>
      <c r="CB15" s="5">
        <f t="shared" ref="CB15" si="165">CB13-CB14</f>
        <v>0.15</v>
      </c>
      <c r="CC15" s="5">
        <f t="shared" ref="CC15" si="166">CC13-CC14</f>
        <v>-95.51</v>
      </c>
      <c r="CD15" s="5">
        <f t="shared" ref="CD15" si="167">CD13-CD14</f>
        <v>-2999.89</v>
      </c>
      <c r="CE15" s="5">
        <f t="shared" ref="CE15" si="168">CE13-CE14</f>
        <v>3000.12</v>
      </c>
      <c r="CF15" s="5">
        <f t="shared" ref="CF15" si="169">CF13-CF14</f>
        <v>0</v>
      </c>
      <c r="CG15" s="5">
        <f t="shared" ref="CG15" si="170">CG13-CG14</f>
        <v>0</v>
      </c>
      <c r="CH15" s="5">
        <f t="shared" ref="CH15" si="171">CH13-CH14</f>
        <v>0</v>
      </c>
      <c r="CI15" s="5">
        <f t="shared" ref="CI15" si="172">CI13-CI14</f>
        <v>0</v>
      </c>
      <c r="CJ15" s="5">
        <f t="shared" ref="CJ15" si="173">CJ13-CJ14</f>
        <v>0</v>
      </c>
      <c r="CK15" s="5">
        <f t="shared" ref="CK15" si="174">CK13-CK14</f>
        <v>0</v>
      </c>
      <c r="CL15" s="5">
        <f t="shared" ref="CL15" si="175">CL13-CL14</f>
        <v>0</v>
      </c>
      <c r="CM15" s="5">
        <f t="shared" ref="CM15" si="176">CM13-CM14</f>
        <v>0</v>
      </c>
      <c r="CN15" s="5">
        <f t="shared" ref="CN15" si="177">CN13-CN14</f>
        <v>0</v>
      </c>
      <c r="CO15" s="5">
        <f t="shared" ref="CO15" si="178">CO13-CO14</f>
        <v>0</v>
      </c>
      <c r="CP15" s="5">
        <f t="shared" ref="CP15" si="179">CP13-CP14</f>
        <v>0</v>
      </c>
      <c r="CQ15" s="5">
        <f t="shared" ref="CQ15" si="180">CQ13-CQ14</f>
        <v>0</v>
      </c>
      <c r="CR15" s="5">
        <f t="shared" ref="CR15" si="181">CR13-CR14</f>
        <v>0</v>
      </c>
      <c r="CS15" s="5">
        <f t="shared" ref="CS15" si="182">CS13-CS14</f>
        <v>0</v>
      </c>
      <c r="CT15" s="5">
        <f t="shared" ref="CT15" si="183">CT13-CT14</f>
        <v>0</v>
      </c>
      <c r="CU15" s="5">
        <f t="shared" ref="CU15" si="184">CU13-CU14</f>
        <v>0</v>
      </c>
      <c r="CV15" s="5">
        <f t="shared" ref="CV15" si="185">CV13-CV14</f>
        <v>0</v>
      </c>
      <c r="CW15" s="5">
        <f t="shared" ref="CW15" si="186">CW13-CW14</f>
        <v>0</v>
      </c>
      <c r="CX15" s="5">
        <f t="shared" ref="CX15" si="187">CX13-CX14</f>
        <v>0</v>
      </c>
      <c r="CY15" s="5">
        <f t="shared" ref="CY15" si="188">CY13-CY14</f>
        <v>0</v>
      </c>
      <c r="CZ15" s="5">
        <f t="shared" ref="CZ15" si="189">CZ13-CZ14</f>
        <v>0</v>
      </c>
      <c r="DA15" s="5">
        <f t="shared" ref="DA15" si="190">DA13-DA14</f>
        <v>0</v>
      </c>
      <c r="DB15" s="5">
        <f t="shared" ref="DB15" si="191">DB13-DB14</f>
        <v>0</v>
      </c>
      <c r="DC15" s="5">
        <f t="shared" ref="DC15" si="192">DC13-DC14</f>
        <v>-549.95000000000005</v>
      </c>
      <c r="DD15" s="5">
        <f t="shared" ref="DD15" si="193">DD13-DD14</f>
        <v>0.04</v>
      </c>
      <c r="DE15" s="5">
        <f t="shared" ref="DE15" si="194">DE13-DE14</f>
        <v>0.04</v>
      </c>
      <c r="DF15" s="5">
        <f t="shared" ref="DF15:DQ15" si="195">DF13-DF14</f>
        <v>0.04</v>
      </c>
      <c r="DG15" s="5">
        <f t="shared" si="195"/>
        <v>0</v>
      </c>
      <c r="DH15" s="5">
        <f t="shared" si="195"/>
        <v>-55</v>
      </c>
      <c r="DI15" s="5">
        <f t="shared" si="195"/>
        <v>0</v>
      </c>
      <c r="DJ15" s="5">
        <f t="shared" si="195"/>
        <v>0.04</v>
      </c>
      <c r="DK15" s="5">
        <f t="shared" si="195"/>
        <v>0.04</v>
      </c>
      <c r="DL15" s="5">
        <f t="shared" si="195"/>
        <v>0.04</v>
      </c>
      <c r="DM15" s="5">
        <f t="shared" si="195"/>
        <v>0.03</v>
      </c>
      <c r="DN15" s="5">
        <f t="shared" si="195"/>
        <v>0.03</v>
      </c>
      <c r="DO15" s="5">
        <f t="shared" si="195"/>
        <v>0.03</v>
      </c>
      <c r="DP15" s="5">
        <f t="shared" si="195"/>
        <v>0</v>
      </c>
      <c r="DQ15" s="5">
        <f t="shared" si="195"/>
        <v>0</v>
      </c>
      <c r="DR15" s="5">
        <f>DR13-DR14</f>
        <v>10.07</v>
      </c>
      <c r="DS15" s="5">
        <f t="shared" ref="DS15:EP15" si="196">DS13-DS14</f>
        <v>0.06</v>
      </c>
      <c r="DT15" s="5">
        <f t="shared" si="196"/>
        <v>175.07</v>
      </c>
      <c r="DU15" s="5">
        <f t="shared" si="196"/>
        <v>230.07</v>
      </c>
      <c r="DV15" s="5">
        <f t="shared" si="196"/>
        <v>7.0000000000000007E-2</v>
      </c>
      <c r="DW15" s="5">
        <f t="shared" si="196"/>
        <v>0.06</v>
      </c>
      <c r="DX15" s="5">
        <f t="shared" si="196"/>
        <v>0.06</v>
      </c>
      <c r="DY15" s="5">
        <f t="shared" si="196"/>
        <v>0.05</v>
      </c>
      <c r="DZ15" s="5">
        <f t="shared" si="196"/>
        <v>175.05</v>
      </c>
      <c r="EA15" s="5">
        <f t="shared" si="196"/>
        <v>0.05</v>
      </c>
      <c r="EB15" s="5">
        <f t="shared" si="196"/>
        <v>0.05</v>
      </c>
      <c r="EC15" s="5">
        <f t="shared" si="196"/>
        <v>100.05</v>
      </c>
      <c r="ED15" s="5">
        <f t="shared" ref="ED15:EO15" si="197">ED13-ED14</f>
        <v>0.05</v>
      </c>
      <c r="EE15" s="5">
        <f t="shared" si="197"/>
        <v>0.05</v>
      </c>
      <c r="EF15" s="5">
        <f t="shared" si="197"/>
        <v>0.05</v>
      </c>
      <c r="EG15" s="5">
        <f t="shared" si="197"/>
        <v>0.05</v>
      </c>
      <c r="EH15" s="5">
        <f t="shared" si="197"/>
        <v>0.05</v>
      </c>
      <c r="EI15" s="5">
        <f t="shared" si="197"/>
        <v>0.05</v>
      </c>
      <c r="EJ15" s="5">
        <f t="shared" si="197"/>
        <v>0.05</v>
      </c>
      <c r="EK15" s="5">
        <f t="shared" si="197"/>
        <v>0.05</v>
      </c>
      <c r="EL15" s="5">
        <f t="shared" si="197"/>
        <v>0.05</v>
      </c>
      <c r="EM15" s="5">
        <f t="shared" si="197"/>
        <v>0.05</v>
      </c>
      <c r="EN15" s="5">
        <f t="shared" si="197"/>
        <v>-200.95</v>
      </c>
      <c r="EO15" s="5">
        <f t="shared" si="197"/>
        <v>0.05</v>
      </c>
      <c r="EP15" s="5">
        <f t="shared" si="196"/>
        <v>0.05</v>
      </c>
      <c r="EQ15" s="5">
        <f t="shared" ref="EQ15:FM15" si="198">EQ13-EQ14</f>
        <v>545.04999999999995</v>
      </c>
      <c r="ER15" s="5">
        <f t="shared" si="198"/>
        <v>0.06</v>
      </c>
      <c r="ES15" s="5">
        <f t="shared" si="198"/>
        <v>25.06</v>
      </c>
      <c r="ET15" s="5">
        <f t="shared" si="198"/>
        <v>30.06</v>
      </c>
      <c r="EU15" s="5">
        <f t="shared" si="198"/>
        <v>0.06</v>
      </c>
      <c r="EV15" s="5">
        <f t="shared" si="198"/>
        <v>0.06</v>
      </c>
      <c r="EW15" s="5">
        <f t="shared" si="198"/>
        <v>0.06</v>
      </c>
      <c r="EX15" s="5">
        <f t="shared" si="198"/>
        <v>0.06</v>
      </c>
      <c r="EY15" s="5">
        <f t="shared" si="198"/>
        <v>955.07</v>
      </c>
      <c r="EZ15" s="5">
        <f t="shared" si="198"/>
        <v>190.08</v>
      </c>
      <c r="FA15" s="5">
        <f t="shared" si="198"/>
        <v>200.08</v>
      </c>
      <c r="FB15" s="5">
        <f t="shared" si="198"/>
        <v>825.08</v>
      </c>
      <c r="FC15" s="5">
        <f t="shared" si="198"/>
        <v>0.08</v>
      </c>
      <c r="FD15" s="5">
        <f t="shared" si="198"/>
        <v>185.1</v>
      </c>
      <c r="FE15" s="5">
        <f t="shared" si="198"/>
        <v>0.1</v>
      </c>
      <c r="FF15" s="5">
        <f t="shared" si="198"/>
        <v>0.1</v>
      </c>
      <c r="FG15" s="5">
        <f t="shared" si="198"/>
        <v>0.1</v>
      </c>
      <c r="FH15" s="5">
        <f t="shared" si="198"/>
        <v>0.1</v>
      </c>
      <c r="FI15" s="5">
        <f t="shared" si="198"/>
        <v>0.1</v>
      </c>
      <c r="FJ15" s="5">
        <f t="shared" si="198"/>
        <v>0.1</v>
      </c>
      <c r="FK15" s="5">
        <f t="shared" si="198"/>
        <v>0.1</v>
      </c>
      <c r="FL15" s="5">
        <f t="shared" si="198"/>
        <v>-79.89</v>
      </c>
      <c r="FM15" s="5">
        <f t="shared" si="198"/>
        <v>325.10000000000002</v>
      </c>
    </row>
    <row r="16" spans="1:169" s="5" customFormat="1" x14ac:dyDescent="0.25"/>
    <row r="17" spans="1:169" s="5" customFormat="1" x14ac:dyDescent="0.25">
      <c r="A17" s="4" t="s">
        <v>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</row>
    <row r="18" spans="1:169" s="5" customFormat="1" ht="18.75" x14ac:dyDescent="0.3">
      <c r="A18" s="5" t="s">
        <v>1</v>
      </c>
      <c r="Z18" s="64"/>
      <c r="BZ18" s="5">
        <v>1</v>
      </c>
      <c r="CA18" s="60">
        <v>10799</v>
      </c>
      <c r="CE18" s="60">
        <v>2820.5</v>
      </c>
      <c r="DC18" s="5">
        <v>89</v>
      </c>
      <c r="DD18" s="5">
        <v>25</v>
      </c>
      <c r="DJ18" s="6">
        <v>245</v>
      </c>
      <c r="DK18" s="5">
        <v>10376</v>
      </c>
      <c r="DL18" s="7">
        <v>143.05000000000001</v>
      </c>
      <c r="DU18" s="5">
        <v>154.75</v>
      </c>
      <c r="DV18" s="5">
        <v>1715</v>
      </c>
      <c r="DW18" s="5">
        <v>9039</v>
      </c>
      <c r="DX18" s="5">
        <v>35</v>
      </c>
      <c r="EF18" s="5">
        <v>0</v>
      </c>
      <c r="EG18" s="5">
        <v>0</v>
      </c>
      <c r="EH18" s="5">
        <v>0</v>
      </c>
      <c r="EI18" s="5">
        <v>9989</v>
      </c>
      <c r="EJ18" s="5">
        <v>0</v>
      </c>
      <c r="EK18" s="5">
        <v>0</v>
      </c>
      <c r="EL18" s="5">
        <v>0</v>
      </c>
      <c r="EM18" s="5">
        <v>0</v>
      </c>
      <c r="EN18" s="5">
        <v>0</v>
      </c>
      <c r="EO18" s="5">
        <v>0</v>
      </c>
      <c r="EP18" s="5">
        <v>0</v>
      </c>
      <c r="EQ18" s="5">
        <v>0</v>
      </c>
      <c r="ER18" s="5">
        <v>0</v>
      </c>
      <c r="ES18" s="80">
        <v>30</v>
      </c>
      <c r="ET18" s="80">
        <v>2255</v>
      </c>
      <c r="EU18" s="80">
        <f>1020+7496+1575</f>
        <v>10091</v>
      </c>
      <c r="EV18" s="80">
        <f>434+10+30</f>
        <v>474</v>
      </c>
      <c r="EW18" s="5">
        <v>0</v>
      </c>
      <c r="EX18" s="5">
        <v>0</v>
      </c>
      <c r="EY18" s="5">
        <v>0</v>
      </c>
      <c r="EZ18" s="5">
        <v>2000</v>
      </c>
      <c r="FA18" s="5">
        <v>0</v>
      </c>
      <c r="FB18" s="5">
        <v>0</v>
      </c>
      <c r="FC18" s="5">
        <v>500</v>
      </c>
      <c r="FD18" s="5">
        <v>0</v>
      </c>
      <c r="FE18" s="5">
        <v>1495</v>
      </c>
      <c r="FF18" s="5">
        <v>0</v>
      </c>
      <c r="FG18" s="5">
        <v>8182</v>
      </c>
      <c r="FH18" s="5">
        <v>2115</v>
      </c>
      <c r="FI18" s="5">
        <v>0</v>
      </c>
      <c r="FJ18" s="5">
        <v>0</v>
      </c>
      <c r="FK18" s="5">
        <v>0</v>
      </c>
      <c r="FL18" s="5">
        <v>0</v>
      </c>
      <c r="FM18" s="5">
        <v>0</v>
      </c>
    </row>
    <row r="19" spans="1:169" s="5" customFormat="1" ht="18.75" x14ac:dyDescent="0.3">
      <c r="A19" s="5" t="s">
        <v>0</v>
      </c>
      <c r="CA19" s="60">
        <v>5279.92</v>
      </c>
      <c r="CB19" s="61">
        <v>595.02</v>
      </c>
      <c r="CC19" s="61">
        <v>975.02</v>
      </c>
      <c r="CD19" s="60">
        <v>3195.52</v>
      </c>
      <c r="CE19" s="61">
        <v>447.01</v>
      </c>
      <c r="DE19" s="6">
        <v>114.25</v>
      </c>
      <c r="DJ19" s="6">
        <v>104.64</v>
      </c>
      <c r="DK19" s="5">
        <v>7353.05</v>
      </c>
      <c r="DL19" s="7">
        <v>3310.42</v>
      </c>
      <c r="DV19" s="5">
        <v>279.75</v>
      </c>
      <c r="DW19" s="5">
        <v>4975.1400000000003</v>
      </c>
      <c r="DY19" s="5">
        <v>100</v>
      </c>
      <c r="DZ19" s="6">
        <v>4500</v>
      </c>
      <c r="EB19" s="5">
        <v>150</v>
      </c>
      <c r="EC19" s="5">
        <v>500</v>
      </c>
      <c r="EF19" s="5">
        <v>0</v>
      </c>
      <c r="EG19" s="5">
        <v>0</v>
      </c>
      <c r="EH19" s="5">
        <v>0</v>
      </c>
      <c r="EI19" s="5">
        <v>3912.04</v>
      </c>
      <c r="EJ19" s="5">
        <v>569.57000000000005</v>
      </c>
      <c r="EK19" s="5">
        <v>0</v>
      </c>
      <c r="EL19" s="5">
        <v>4500</v>
      </c>
      <c r="EM19" s="5">
        <v>150</v>
      </c>
      <c r="EN19" s="5">
        <v>0</v>
      </c>
      <c r="EO19" s="5">
        <v>0</v>
      </c>
      <c r="EP19" s="80">
        <v>0</v>
      </c>
      <c r="EQ19" s="80">
        <f>25</f>
        <v>25</v>
      </c>
      <c r="ER19" s="5">
        <v>0</v>
      </c>
      <c r="ES19" s="5">
        <v>0</v>
      </c>
      <c r="ET19" s="80">
        <f>400+30</f>
        <v>430</v>
      </c>
      <c r="EU19" s="80">
        <f>50+50+50+50+25+25+25+50+25+50+25+25+25+25+25+25+25+25+50+50+50+50+50+100+100+100+100+250+500+1000+225+375+400+858+5+1.6</f>
        <v>4864.6000000000004</v>
      </c>
      <c r="EV19" s="80">
        <f>25+25+25+432.39+175.82+525</f>
        <v>1208.21</v>
      </c>
      <c r="EW19" s="5">
        <v>100</v>
      </c>
      <c r="EX19" s="5">
        <v>100</v>
      </c>
      <c r="EY19" s="5">
        <v>400</v>
      </c>
      <c r="EZ19" s="5">
        <v>6575</v>
      </c>
      <c r="FA19" s="5">
        <v>0</v>
      </c>
      <c r="FB19" s="5">
        <v>0</v>
      </c>
      <c r="FC19" s="5">
        <v>150</v>
      </c>
      <c r="FD19" s="5">
        <v>250</v>
      </c>
      <c r="FE19" s="5">
        <v>213</v>
      </c>
      <c r="FF19" s="5">
        <v>0</v>
      </c>
      <c r="FG19" s="5">
        <v>3868.34</v>
      </c>
      <c r="FH19" s="5">
        <v>602.55999999999995</v>
      </c>
      <c r="FI19" s="5">
        <v>200</v>
      </c>
      <c r="FJ19" s="5">
        <f>100+250</f>
        <v>350</v>
      </c>
      <c r="FK19" s="5">
        <v>3340</v>
      </c>
      <c r="FL19" s="5">
        <v>0</v>
      </c>
      <c r="FM19" s="5">
        <v>93</v>
      </c>
    </row>
    <row r="20" spans="1:169" s="5" customFormat="1" x14ac:dyDescent="0.25">
      <c r="A20" s="5" t="s">
        <v>2</v>
      </c>
      <c r="B20" s="5">
        <f t="shared" ref="B20:Z20" si="199">B18-B19</f>
        <v>0</v>
      </c>
      <c r="C20" s="5">
        <f t="shared" si="199"/>
        <v>0</v>
      </c>
      <c r="D20" s="5">
        <f t="shared" si="199"/>
        <v>0</v>
      </c>
      <c r="E20" s="5">
        <f t="shared" si="199"/>
        <v>0</v>
      </c>
      <c r="F20" s="5">
        <f t="shared" si="199"/>
        <v>0</v>
      </c>
      <c r="G20" s="5">
        <f t="shared" si="199"/>
        <v>0</v>
      </c>
      <c r="H20" s="5">
        <f t="shared" si="199"/>
        <v>0</v>
      </c>
      <c r="I20" s="5">
        <f t="shared" si="199"/>
        <v>0</v>
      </c>
      <c r="J20" s="5">
        <f t="shared" si="199"/>
        <v>0</v>
      </c>
      <c r="K20" s="5">
        <f t="shared" si="199"/>
        <v>0</v>
      </c>
      <c r="L20" s="5">
        <f t="shared" si="199"/>
        <v>0</v>
      </c>
      <c r="M20" s="5">
        <f t="shared" si="199"/>
        <v>0</v>
      </c>
      <c r="N20" s="5">
        <f t="shared" si="199"/>
        <v>0</v>
      </c>
      <c r="O20" s="5">
        <f t="shared" si="199"/>
        <v>0</v>
      </c>
      <c r="P20" s="5">
        <f t="shared" si="199"/>
        <v>0</v>
      </c>
      <c r="Q20" s="5">
        <f t="shared" si="199"/>
        <v>0</v>
      </c>
      <c r="R20" s="5">
        <f t="shared" si="199"/>
        <v>0</v>
      </c>
      <c r="S20" s="5">
        <f t="shared" si="199"/>
        <v>0</v>
      </c>
      <c r="T20" s="5">
        <f t="shared" si="199"/>
        <v>0</v>
      </c>
      <c r="U20" s="5">
        <f t="shared" si="199"/>
        <v>0</v>
      </c>
      <c r="V20" s="5">
        <f t="shared" si="199"/>
        <v>0</v>
      </c>
      <c r="W20" s="5">
        <f t="shared" si="199"/>
        <v>0</v>
      </c>
      <c r="X20" s="5">
        <f t="shared" si="199"/>
        <v>0</v>
      </c>
      <c r="Y20" s="5">
        <f t="shared" si="199"/>
        <v>0</v>
      </c>
      <c r="Z20" s="5">
        <f t="shared" si="199"/>
        <v>0</v>
      </c>
      <c r="AA20" s="5">
        <f t="shared" ref="AA20:AV20" si="200">AA18-AA19</f>
        <v>0</v>
      </c>
      <c r="AB20" s="5">
        <f t="shared" si="200"/>
        <v>0</v>
      </c>
      <c r="AC20" s="5">
        <f t="shared" si="200"/>
        <v>0</v>
      </c>
      <c r="AD20" s="5">
        <f t="shared" si="200"/>
        <v>0</v>
      </c>
      <c r="AE20" s="5">
        <f t="shared" si="200"/>
        <v>0</v>
      </c>
      <c r="AF20" s="5">
        <f t="shared" si="200"/>
        <v>0</v>
      </c>
      <c r="AG20" s="5">
        <f t="shared" si="200"/>
        <v>0</v>
      </c>
      <c r="AH20" s="5">
        <f t="shared" si="200"/>
        <v>0</v>
      </c>
      <c r="AI20" s="5">
        <f t="shared" si="200"/>
        <v>0</v>
      </c>
      <c r="AJ20" s="5">
        <f t="shared" si="200"/>
        <v>0</v>
      </c>
      <c r="AK20" s="5">
        <f t="shared" si="200"/>
        <v>0</v>
      </c>
      <c r="AL20" s="5">
        <f t="shared" si="200"/>
        <v>0</v>
      </c>
      <c r="AM20" s="5">
        <f t="shared" si="200"/>
        <v>0</v>
      </c>
      <c r="AN20" s="5">
        <f t="shared" si="200"/>
        <v>0</v>
      </c>
      <c r="AO20" s="5">
        <f t="shared" si="200"/>
        <v>0</v>
      </c>
      <c r="AP20" s="5">
        <f t="shared" si="200"/>
        <v>0</v>
      </c>
      <c r="AQ20" s="5">
        <f t="shared" si="200"/>
        <v>0</v>
      </c>
      <c r="AR20" s="5">
        <f t="shared" si="200"/>
        <v>0</v>
      </c>
      <c r="AS20" s="5">
        <f t="shared" si="200"/>
        <v>0</v>
      </c>
      <c r="AT20" s="5">
        <f t="shared" si="200"/>
        <v>0</v>
      </c>
      <c r="AU20" s="5">
        <f t="shared" si="200"/>
        <v>0</v>
      </c>
      <c r="AV20" s="5">
        <f t="shared" si="200"/>
        <v>0</v>
      </c>
      <c r="AW20" s="5">
        <f t="shared" ref="AW20:AX20" si="201">AW18-AW19</f>
        <v>0</v>
      </c>
      <c r="AX20" s="5">
        <f t="shared" si="201"/>
        <v>0</v>
      </c>
      <c r="AY20" s="5">
        <f t="shared" ref="AY20" si="202">AY18-AY19</f>
        <v>0</v>
      </c>
      <c r="AZ20" s="5">
        <f t="shared" ref="AZ20" si="203">AZ18-AZ19</f>
        <v>0</v>
      </c>
      <c r="BA20" s="5">
        <f t="shared" ref="BA20" si="204">BA18-BA19</f>
        <v>0</v>
      </c>
      <c r="BB20" s="5">
        <f t="shared" ref="BB20" si="205">BB18-BB19</f>
        <v>0</v>
      </c>
      <c r="BC20" s="5">
        <f t="shared" ref="BC20" si="206">BC18-BC19</f>
        <v>0</v>
      </c>
      <c r="BD20" s="5">
        <f t="shared" ref="BD20" si="207">BD18-BD19</f>
        <v>0</v>
      </c>
      <c r="BE20" s="5">
        <f t="shared" ref="BE20" si="208">BE18-BE19</f>
        <v>0</v>
      </c>
      <c r="BF20" s="5">
        <f t="shared" ref="BF20" si="209">BF18-BF19</f>
        <v>0</v>
      </c>
      <c r="BG20" s="5">
        <f t="shared" ref="BG20" si="210">BG18-BG19</f>
        <v>0</v>
      </c>
      <c r="BH20" s="5">
        <f t="shared" ref="BH20" si="211">BH18-BH19</f>
        <v>0</v>
      </c>
      <c r="BI20" s="5">
        <f t="shared" ref="BI20" si="212">BI18-BI19</f>
        <v>0</v>
      </c>
      <c r="BJ20" s="5">
        <f t="shared" ref="BJ20" si="213">BJ18-BJ19</f>
        <v>0</v>
      </c>
      <c r="BK20" s="5">
        <f t="shared" ref="BK20" si="214">BK18-BK19</f>
        <v>0</v>
      </c>
      <c r="BL20" s="5">
        <f t="shared" ref="BL20" si="215">BL18-BL19</f>
        <v>0</v>
      </c>
      <c r="BM20" s="5">
        <f t="shared" ref="BM20" si="216">BM18-BM19</f>
        <v>0</v>
      </c>
      <c r="BN20" s="5">
        <f t="shared" ref="BN20" si="217">BN18-BN19</f>
        <v>0</v>
      </c>
      <c r="BO20" s="5">
        <f t="shared" ref="BO20" si="218">BO18-BO19</f>
        <v>0</v>
      </c>
      <c r="BP20" s="5">
        <f t="shared" ref="BP20" si="219">BP18-BP19</f>
        <v>0</v>
      </c>
      <c r="BQ20" s="5">
        <f t="shared" ref="BQ20" si="220">BQ18-BQ19</f>
        <v>0</v>
      </c>
      <c r="BR20" s="5">
        <f t="shared" ref="BR20" si="221">BR18-BR19</f>
        <v>0</v>
      </c>
      <c r="BS20" s="5">
        <f t="shared" ref="BS20" si="222">BS18-BS19</f>
        <v>0</v>
      </c>
      <c r="BT20" s="5">
        <f t="shared" ref="BT20" si="223">BT18-BT19</f>
        <v>0</v>
      </c>
      <c r="BU20" s="5">
        <f t="shared" ref="BU20" si="224">BU18-BU19</f>
        <v>0</v>
      </c>
      <c r="BV20" s="5">
        <f t="shared" ref="BV20" si="225">BV18-BV19</f>
        <v>0</v>
      </c>
      <c r="BW20" s="5">
        <f t="shared" ref="BW20" si="226">BW18-BW19</f>
        <v>0</v>
      </c>
      <c r="BX20" s="5">
        <f t="shared" ref="BX20" si="227">BX18-BX19</f>
        <v>0</v>
      </c>
      <c r="BY20" s="5">
        <f t="shared" ref="BY20" si="228">BY18-BY19</f>
        <v>0</v>
      </c>
      <c r="BZ20" s="5">
        <f t="shared" ref="BZ20" si="229">BZ18-BZ19</f>
        <v>1</v>
      </c>
      <c r="CA20" s="5">
        <f t="shared" ref="CA20" si="230">CA18-CA19</f>
        <v>5519.08</v>
      </c>
      <c r="CB20" s="5">
        <f t="shared" ref="CB20" si="231">CB18-CB19</f>
        <v>-595.02</v>
      </c>
      <c r="CC20" s="5">
        <f t="shared" ref="CC20" si="232">CC18-CC19</f>
        <v>-975.02</v>
      </c>
      <c r="CD20" s="5">
        <f t="shared" ref="CD20" si="233">CD18-CD19</f>
        <v>-3195.52</v>
      </c>
      <c r="CE20" s="5">
        <f t="shared" ref="CE20" si="234">CE18-CE19</f>
        <v>2373.4899999999998</v>
      </c>
      <c r="CF20" s="5">
        <f t="shared" ref="CF20" si="235">CF18-CF19</f>
        <v>0</v>
      </c>
      <c r="CG20" s="5">
        <f t="shared" ref="CG20" si="236">CG18-CG19</f>
        <v>0</v>
      </c>
      <c r="CH20" s="5">
        <f t="shared" ref="CH20" si="237">CH18-CH19</f>
        <v>0</v>
      </c>
      <c r="CI20" s="5">
        <f t="shared" ref="CI20" si="238">CI18-CI19</f>
        <v>0</v>
      </c>
      <c r="CJ20" s="5">
        <f t="shared" ref="CJ20" si="239">CJ18-CJ19</f>
        <v>0</v>
      </c>
      <c r="CK20" s="5">
        <f t="shared" ref="CK20" si="240">CK18-CK19</f>
        <v>0</v>
      </c>
      <c r="CL20" s="5">
        <f t="shared" ref="CL20" si="241">CL18-CL19</f>
        <v>0</v>
      </c>
      <c r="CM20" s="5">
        <f t="shared" ref="CM20" si="242">CM18-CM19</f>
        <v>0</v>
      </c>
      <c r="CN20" s="5">
        <f t="shared" ref="CN20" si="243">CN18-CN19</f>
        <v>0</v>
      </c>
      <c r="CO20" s="5">
        <f t="shared" ref="CO20" si="244">CO18-CO19</f>
        <v>0</v>
      </c>
      <c r="CP20" s="5">
        <f t="shared" ref="CP20" si="245">CP18-CP19</f>
        <v>0</v>
      </c>
      <c r="CQ20" s="5">
        <f t="shared" ref="CQ20" si="246">CQ18-CQ19</f>
        <v>0</v>
      </c>
      <c r="CR20" s="5">
        <f t="shared" ref="CR20" si="247">CR18-CR19</f>
        <v>0</v>
      </c>
      <c r="CS20" s="5">
        <f t="shared" ref="CS20" si="248">CS18-CS19</f>
        <v>0</v>
      </c>
      <c r="CT20" s="5">
        <f t="shared" ref="CT20" si="249">CT18-CT19</f>
        <v>0</v>
      </c>
      <c r="CU20" s="5">
        <f t="shared" ref="CU20" si="250">CU18-CU19</f>
        <v>0</v>
      </c>
      <c r="CV20" s="5">
        <f t="shared" ref="CV20" si="251">CV18-CV19</f>
        <v>0</v>
      </c>
      <c r="CW20" s="5">
        <f t="shared" ref="CW20" si="252">CW18-CW19</f>
        <v>0</v>
      </c>
      <c r="CX20" s="5">
        <f t="shared" ref="CX20" si="253">CX18-CX19</f>
        <v>0</v>
      </c>
      <c r="CY20" s="5">
        <f t="shared" ref="CY20" si="254">CY18-CY19</f>
        <v>0</v>
      </c>
      <c r="CZ20" s="5">
        <f t="shared" ref="CZ20" si="255">CZ18-CZ19</f>
        <v>0</v>
      </c>
      <c r="DA20" s="5">
        <f t="shared" ref="DA20" si="256">DA18-DA19</f>
        <v>0</v>
      </c>
      <c r="DB20" s="5">
        <f t="shared" ref="DB20" si="257">DB18-DB19</f>
        <v>0</v>
      </c>
      <c r="DC20" s="5">
        <f t="shared" ref="DC20" si="258">DC18-DC19</f>
        <v>89</v>
      </c>
      <c r="DD20" s="5">
        <f t="shared" ref="DD20" si="259">DD18-DD19</f>
        <v>25</v>
      </c>
      <c r="DE20" s="5">
        <f t="shared" ref="DE20" si="260">DE18-DE19</f>
        <v>-114.25</v>
      </c>
      <c r="DF20" s="5">
        <f t="shared" ref="DF20:DQ20" si="261">DF18-DF19</f>
        <v>0</v>
      </c>
      <c r="DG20" s="5">
        <f t="shared" si="261"/>
        <v>0</v>
      </c>
      <c r="DH20" s="5">
        <f t="shared" si="261"/>
        <v>0</v>
      </c>
      <c r="DI20" s="5">
        <f t="shared" si="261"/>
        <v>0</v>
      </c>
      <c r="DJ20" s="5">
        <f t="shared" si="261"/>
        <v>140.36000000000001</v>
      </c>
      <c r="DK20" s="5">
        <f t="shared" si="261"/>
        <v>3022.95</v>
      </c>
      <c r="DL20" s="5">
        <f t="shared" si="261"/>
        <v>-3167.37</v>
      </c>
      <c r="DM20" s="5">
        <f t="shared" si="261"/>
        <v>0</v>
      </c>
      <c r="DN20" s="5">
        <f t="shared" si="261"/>
        <v>0</v>
      </c>
      <c r="DO20" s="5">
        <f t="shared" si="261"/>
        <v>0</v>
      </c>
      <c r="DP20" s="5">
        <f t="shared" si="261"/>
        <v>0</v>
      </c>
      <c r="DQ20" s="5">
        <f t="shared" si="261"/>
        <v>0</v>
      </c>
      <c r="DR20" s="5">
        <f>DR18-DR19</f>
        <v>0</v>
      </c>
      <c r="DS20" s="5">
        <f t="shared" ref="DS20:EP20" si="262">DS18-DS19</f>
        <v>0</v>
      </c>
      <c r="DT20" s="5">
        <f t="shared" si="262"/>
        <v>0</v>
      </c>
      <c r="DU20" s="5">
        <f t="shared" si="262"/>
        <v>154.75</v>
      </c>
      <c r="DV20" s="5">
        <f t="shared" si="262"/>
        <v>1435.25</v>
      </c>
      <c r="DW20" s="5">
        <f t="shared" si="262"/>
        <v>4063.8599999999997</v>
      </c>
      <c r="DX20" s="5">
        <f t="shared" si="262"/>
        <v>35</v>
      </c>
      <c r="DY20" s="5">
        <f t="shared" si="262"/>
        <v>-100</v>
      </c>
      <c r="DZ20" s="5">
        <f t="shared" si="262"/>
        <v>-4500</v>
      </c>
      <c r="EA20" s="5">
        <f t="shared" si="262"/>
        <v>0</v>
      </c>
      <c r="EB20" s="5">
        <f t="shared" si="262"/>
        <v>-150</v>
      </c>
      <c r="EC20" s="5">
        <f t="shared" si="262"/>
        <v>-500</v>
      </c>
      <c r="ED20" s="5">
        <f t="shared" ref="ED20:EO20" si="263">ED18-ED19</f>
        <v>0</v>
      </c>
      <c r="EE20" s="5">
        <f t="shared" si="263"/>
        <v>0</v>
      </c>
      <c r="EF20" s="5">
        <f t="shared" si="263"/>
        <v>0</v>
      </c>
      <c r="EG20" s="5">
        <f t="shared" si="263"/>
        <v>0</v>
      </c>
      <c r="EH20" s="5">
        <f t="shared" si="263"/>
        <v>0</v>
      </c>
      <c r="EI20" s="5">
        <f t="shared" si="263"/>
        <v>6076.96</v>
      </c>
      <c r="EJ20" s="5">
        <f t="shared" si="263"/>
        <v>-569.57000000000005</v>
      </c>
      <c r="EK20" s="5">
        <f t="shared" si="263"/>
        <v>0</v>
      </c>
      <c r="EL20" s="5">
        <f t="shared" si="263"/>
        <v>-4500</v>
      </c>
      <c r="EM20" s="5">
        <f t="shared" si="263"/>
        <v>-150</v>
      </c>
      <c r="EN20" s="5">
        <f t="shared" si="263"/>
        <v>0</v>
      </c>
      <c r="EO20" s="5">
        <f t="shared" si="263"/>
        <v>0</v>
      </c>
      <c r="EP20" s="5">
        <f t="shared" si="262"/>
        <v>0</v>
      </c>
      <c r="EQ20" s="5">
        <f t="shared" ref="EQ20:FM20" si="264">EQ18-EQ19</f>
        <v>-25</v>
      </c>
      <c r="ER20" s="5">
        <f t="shared" si="264"/>
        <v>0</v>
      </c>
      <c r="ES20" s="5">
        <f t="shared" si="264"/>
        <v>30</v>
      </c>
      <c r="ET20" s="5">
        <f t="shared" si="264"/>
        <v>1825</v>
      </c>
      <c r="EU20" s="5">
        <f t="shared" si="264"/>
        <v>5226.3999999999996</v>
      </c>
      <c r="EV20" s="5">
        <f t="shared" si="264"/>
        <v>-734.21</v>
      </c>
      <c r="EW20" s="5">
        <f t="shared" si="264"/>
        <v>-100</v>
      </c>
      <c r="EX20" s="5">
        <f t="shared" si="264"/>
        <v>-100</v>
      </c>
      <c r="EY20" s="5">
        <f t="shared" si="264"/>
        <v>-400</v>
      </c>
      <c r="EZ20" s="5">
        <f t="shared" si="264"/>
        <v>-4575</v>
      </c>
      <c r="FA20" s="5">
        <f t="shared" si="264"/>
        <v>0</v>
      </c>
      <c r="FB20" s="5">
        <f t="shared" si="264"/>
        <v>0</v>
      </c>
      <c r="FC20" s="5">
        <f t="shared" si="264"/>
        <v>350</v>
      </c>
      <c r="FD20" s="5">
        <f t="shared" si="264"/>
        <v>-250</v>
      </c>
      <c r="FE20" s="5">
        <f t="shared" si="264"/>
        <v>1282</v>
      </c>
      <c r="FF20" s="5">
        <f t="shared" si="264"/>
        <v>0</v>
      </c>
      <c r="FG20" s="5">
        <f t="shared" si="264"/>
        <v>4313.66</v>
      </c>
      <c r="FH20" s="5">
        <f t="shared" si="264"/>
        <v>1512.44</v>
      </c>
      <c r="FI20" s="5">
        <f t="shared" si="264"/>
        <v>-200</v>
      </c>
      <c r="FJ20" s="5">
        <f t="shared" si="264"/>
        <v>-350</v>
      </c>
      <c r="FK20" s="5">
        <f t="shared" si="264"/>
        <v>-3340</v>
      </c>
      <c r="FL20" s="5">
        <f t="shared" si="264"/>
        <v>0</v>
      </c>
      <c r="FM20" s="5">
        <f t="shared" si="264"/>
        <v>-93</v>
      </c>
    </row>
    <row r="21" spans="1:169" s="5" customFormat="1" x14ac:dyDescent="0.25"/>
    <row r="22" spans="1:169" s="5" customFormat="1" x14ac:dyDescent="0.25">
      <c r="A22" s="5" t="s">
        <v>7</v>
      </c>
      <c r="B22" s="5">
        <f t="shared" ref="B22:Z22" si="265">B5+B10+B15+B20</f>
        <v>0</v>
      </c>
      <c r="C22" s="5">
        <f t="shared" si="265"/>
        <v>0</v>
      </c>
      <c r="D22" s="5">
        <f t="shared" si="265"/>
        <v>0</v>
      </c>
      <c r="E22" s="5">
        <f t="shared" si="265"/>
        <v>0</v>
      </c>
      <c r="F22" s="5">
        <f t="shared" si="265"/>
        <v>5589.08</v>
      </c>
      <c r="G22" s="5">
        <f t="shared" si="265"/>
        <v>0</v>
      </c>
      <c r="H22" s="5">
        <f t="shared" si="265"/>
        <v>0</v>
      </c>
      <c r="I22" s="5">
        <f t="shared" si="265"/>
        <v>0</v>
      </c>
      <c r="J22" s="5">
        <f t="shared" si="265"/>
        <v>-3959.670000000001</v>
      </c>
      <c r="K22" s="5">
        <f t="shared" si="265"/>
        <v>0</v>
      </c>
      <c r="L22" s="5">
        <f t="shared" si="265"/>
        <v>-1650.7200000000007</v>
      </c>
      <c r="M22" s="5">
        <f t="shared" si="265"/>
        <v>-2778.6200000000008</v>
      </c>
      <c r="N22" s="5">
        <f t="shared" si="265"/>
        <v>0</v>
      </c>
      <c r="O22" s="5">
        <f t="shared" si="265"/>
        <v>1750.94</v>
      </c>
      <c r="P22" s="5">
        <f t="shared" si="265"/>
        <v>-1090.7699999999998</v>
      </c>
      <c r="Q22" s="5">
        <f t="shared" si="265"/>
        <v>0</v>
      </c>
      <c r="R22" s="5">
        <f t="shared" si="265"/>
        <v>1994.83</v>
      </c>
      <c r="S22" s="5">
        <f t="shared" si="265"/>
        <v>-407.53</v>
      </c>
      <c r="T22" s="5">
        <f t="shared" si="265"/>
        <v>390.43000000000006</v>
      </c>
      <c r="U22" s="5">
        <f t="shared" si="265"/>
        <v>3206.58</v>
      </c>
      <c r="V22" s="5">
        <f t="shared" si="265"/>
        <v>-1364.9299999999994</v>
      </c>
      <c r="W22" s="5">
        <f t="shared" si="265"/>
        <v>2262.970000000003</v>
      </c>
      <c r="X22" s="5">
        <f t="shared" si="265"/>
        <v>-968.16999999999985</v>
      </c>
      <c r="Y22" s="5">
        <f t="shared" si="265"/>
        <v>1935.3600000000001</v>
      </c>
      <c r="Z22" s="5">
        <f t="shared" si="265"/>
        <v>-3713.22</v>
      </c>
      <c r="AA22" s="5">
        <f t="shared" ref="AA22:AV22" si="266">AA5+AA10+AA15+AA20</f>
        <v>-2425.2200000000003</v>
      </c>
      <c r="AB22" s="5">
        <f t="shared" si="266"/>
        <v>299.2999999999991</v>
      </c>
      <c r="AC22" s="5">
        <f t="shared" si="266"/>
        <v>-6676.2000000000007</v>
      </c>
      <c r="AD22" s="5">
        <f t="shared" si="266"/>
        <v>3002.1899999999996</v>
      </c>
      <c r="AE22" s="5">
        <f t="shared" si="266"/>
        <v>-5493.2300000000014</v>
      </c>
      <c r="AF22" s="5">
        <f t="shared" si="266"/>
        <v>1070.4900000000009</v>
      </c>
      <c r="AG22" s="5">
        <f t="shared" si="266"/>
        <v>-3368.7100000000005</v>
      </c>
      <c r="AH22" s="5">
        <f t="shared" si="266"/>
        <v>987.5400000000011</v>
      </c>
      <c r="AI22" s="5">
        <f t="shared" si="266"/>
        <v>-1449.8799999999985</v>
      </c>
      <c r="AJ22" s="5">
        <f t="shared" si="266"/>
        <v>2201.3200000000011</v>
      </c>
      <c r="AK22" s="5">
        <f t="shared" si="266"/>
        <v>-1463.2599999999993</v>
      </c>
      <c r="AL22" s="5">
        <f t="shared" si="266"/>
        <v>0</v>
      </c>
      <c r="AM22" s="5">
        <f t="shared" si="266"/>
        <v>0</v>
      </c>
      <c r="AN22" s="5">
        <f t="shared" si="266"/>
        <v>0</v>
      </c>
      <c r="AO22" s="5">
        <f t="shared" si="266"/>
        <v>0</v>
      </c>
      <c r="AP22" s="5">
        <f t="shared" si="266"/>
        <v>0</v>
      </c>
      <c r="AQ22" s="5">
        <f t="shared" si="266"/>
        <v>0</v>
      </c>
      <c r="AR22" s="5">
        <f t="shared" si="266"/>
        <v>0</v>
      </c>
      <c r="AS22" s="5">
        <f t="shared" si="266"/>
        <v>0</v>
      </c>
      <c r="AT22" s="5">
        <f t="shared" si="266"/>
        <v>0</v>
      </c>
      <c r="AU22" s="5">
        <f t="shared" si="266"/>
        <v>0</v>
      </c>
      <c r="AV22" s="5">
        <f t="shared" si="266"/>
        <v>0</v>
      </c>
      <c r="AW22" s="5">
        <f t="shared" ref="AW22:BI22" si="267">AW5+AW10+AW15+AW20</f>
        <v>0</v>
      </c>
      <c r="AX22" s="5">
        <f t="shared" si="267"/>
        <v>3653.7400000000016</v>
      </c>
      <c r="AY22" s="5">
        <f t="shared" si="267"/>
        <v>-3248.3299999999995</v>
      </c>
      <c r="AZ22" s="5">
        <f t="shared" si="267"/>
        <v>2615.4</v>
      </c>
      <c r="BA22" s="5">
        <f t="shared" si="267"/>
        <v>3505.5499999999997</v>
      </c>
      <c r="BB22" s="5">
        <f t="shared" si="267"/>
        <v>4860.2</v>
      </c>
      <c r="BC22" s="5">
        <f t="shared" si="267"/>
        <v>0</v>
      </c>
      <c r="BD22" s="5">
        <f t="shared" si="267"/>
        <v>-6669.9</v>
      </c>
      <c r="BE22" s="5">
        <f t="shared" si="267"/>
        <v>-1289.92</v>
      </c>
      <c r="BF22" s="5">
        <f t="shared" si="267"/>
        <v>-3787.2299999999996</v>
      </c>
      <c r="BG22" s="5">
        <f t="shared" si="267"/>
        <v>6038.56</v>
      </c>
      <c r="BH22" s="5">
        <f t="shared" si="267"/>
        <v>284.03999999999974</v>
      </c>
      <c r="BI22" s="5">
        <f t="shared" si="267"/>
        <v>-3025.2299999999987</v>
      </c>
      <c r="BJ22" s="5">
        <f t="shared" ref="BJ22:BU22" si="268">BJ5+BJ10+BJ15+BJ20</f>
        <v>-397.85999999999967</v>
      </c>
      <c r="BK22" s="5">
        <f t="shared" si="268"/>
        <v>-2769.39</v>
      </c>
      <c r="BL22" s="5">
        <f t="shared" si="268"/>
        <v>-1559.3200000000011</v>
      </c>
      <c r="BM22" s="5">
        <f t="shared" si="268"/>
        <v>7743.61</v>
      </c>
      <c r="BN22" s="5">
        <f t="shared" si="268"/>
        <v>539.34000000000049</v>
      </c>
      <c r="BO22" s="5">
        <f t="shared" si="268"/>
        <v>375.61999999999978</v>
      </c>
      <c r="BP22" s="5">
        <f t="shared" si="268"/>
        <v>-1511.5500000000002</v>
      </c>
      <c r="BQ22" s="5">
        <f t="shared" si="268"/>
        <v>-458.46000000000038</v>
      </c>
      <c r="BR22" s="5">
        <f t="shared" si="268"/>
        <v>-6262.09</v>
      </c>
      <c r="BS22" s="5">
        <f t="shared" si="268"/>
        <v>0</v>
      </c>
      <c r="BT22" s="5">
        <f t="shared" si="268"/>
        <v>0</v>
      </c>
      <c r="BU22" s="5">
        <f t="shared" si="268"/>
        <v>-1140.6899999999996</v>
      </c>
      <c r="BV22" s="5">
        <f t="shared" ref="BV22:CG22" si="269">BV5+BV10+BV15+BV20</f>
        <v>-3818.9499999999994</v>
      </c>
      <c r="BW22" s="5">
        <f t="shared" si="269"/>
        <v>-1491.0000000000002</v>
      </c>
      <c r="BX22" s="5">
        <f t="shared" si="269"/>
        <v>3162.8700000000003</v>
      </c>
      <c r="BY22" s="5">
        <f t="shared" si="269"/>
        <v>4524.7300000000005</v>
      </c>
      <c r="BZ22" s="5">
        <f t="shared" si="269"/>
        <v>-996.00999999999988</v>
      </c>
      <c r="CA22" s="5">
        <f t="shared" si="269"/>
        <v>1279.7599999999993</v>
      </c>
      <c r="CB22" s="5">
        <f t="shared" si="269"/>
        <v>-1490.3400000000011</v>
      </c>
      <c r="CC22" s="5">
        <f t="shared" si="269"/>
        <v>-346.88000000000034</v>
      </c>
      <c r="CD22" s="5">
        <f t="shared" si="269"/>
        <v>-6295.75</v>
      </c>
      <c r="CE22" s="5">
        <f t="shared" si="269"/>
        <v>16927.879999999997</v>
      </c>
      <c r="CF22" s="5">
        <f t="shared" si="269"/>
        <v>0</v>
      </c>
      <c r="CG22" s="5">
        <f t="shared" si="269"/>
        <v>0</v>
      </c>
      <c r="CH22" s="5">
        <f t="shared" ref="CH22:CS22" si="270">CH5+CH10+CH15+CH20</f>
        <v>0</v>
      </c>
      <c r="CI22" s="5">
        <f t="shared" si="270"/>
        <v>0</v>
      </c>
      <c r="CJ22" s="5">
        <f t="shared" si="270"/>
        <v>0</v>
      </c>
      <c r="CK22" s="5">
        <f t="shared" si="270"/>
        <v>0</v>
      </c>
      <c r="CL22" s="5">
        <f t="shared" si="270"/>
        <v>0</v>
      </c>
      <c r="CM22" s="5">
        <f t="shared" si="270"/>
        <v>0</v>
      </c>
      <c r="CN22" s="5">
        <f t="shared" si="270"/>
        <v>0</v>
      </c>
      <c r="CO22" s="5">
        <f t="shared" si="270"/>
        <v>0</v>
      </c>
      <c r="CP22" s="5">
        <f t="shared" si="270"/>
        <v>0</v>
      </c>
      <c r="CQ22" s="5">
        <f t="shared" si="270"/>
        <v>0</v>
      </c>
      <c r="CR22" s="5">
        <f t="shared" si="270"/>
        <v>0</v>
      </c>
      <c r="CS22" s="5">
        <f t="shared" si="270"/>
        <v>0</v>
      </c>
      <c r="CT22" s="5">
        <f t="shared" ref="CT22:DE22" si="271">CT5+CT10+CT15+CT20</f>
        <v>0</v>
      </c>
      <c r="CU22" s="5">
        <f t="shared" si="271"/>
        <v>0</v>
      </c>
      <c r="CV22" s="5">
        <f t="shared" si="271"/>
        <v>0</v>
      </c>
      <c r="CW22" s="5">
        <f t="shared" si="271"/>
        <v>0</v>
      </c>
      <c r="CX22" s="5">
        <f t="shared" si="271"/>
        <v>0</v>
      </c>
      <c r="CY22" s="5">
        <f t="shared" si="271"/>
        <v>0</v>
      </c>
      <c r="CZ22" s="5">
        <f t="shared" si="271"/>
        <v>0</v>
      </c>
      <c r="DA22" s="5">
        <f t="shared" si="271"/>
        <v>0</v>
      </c>
      <c r="DB22" s="5">
        <f t="shared" si="271"/>
        <v>0</v>
      </c>
      <c r="DC22" s="5">
        <f t="shared" si="271"/>
        <v>6525.0300000000016</v>
      </c>
      <c r="DD22" s="5">
        <f t="shared" si="271"/>
        <v>-2823.6100000000006</v>
      </c>
      <c r="DE22" s="5">
        <f t="shared" si="271"/>
        <v>-2867.37</v>
      </c>
      <c r="DF22" s="5">
        <f t="shared" ref="DF22:DQ22" si="272">DF5+DF10+DF15+DF20</f>
        <v>2525.1799999999994</v>
      </c>
      <c r="DG22" s="5">
        <f t="shared" si="272"/>
        <v>0</v>
      </c>
      <c r="DH22" s="5">
        <f t="shared" si="272"/>
        <v>242.16000000000059</v>
      </c>
      <c r="DI22" s="5">
        <f t="shared" si="272"/>
        <v>0</v>
      </c>
      <c r="DJ22" s="5">
        <f t="shared" si="272"/>
        <v>125.47999999999993</v>
      </c>
      <c r="DK22" s="5">
        <f t="shared" si="272"/>
        <v>2889.0399999999991</v>
      </c>
      <c r="DL22" s="5">
        <f t="shared" si="272"/>
        <v>-2854.1999999999989</v>
      </c>
      <c r="DM22" s="5">
        <f t="shared" si="272"/>
        <v>5495.9000000000005</v>
      </c>
      <c r="DN22" s="5">
        <f t="shared" si="272"/>
        <v>2209.0899999999997</v>
      </c>
      <c r="DO22" s="5">
        <f t="shared" si="272"/>
        <v>8901.94</v>
      </c>
      <c r="DP22" s="5">
        <f t="shared" si="272"/>
        <v>0</v>
      </c>
      <c r="DQ22" s="5">
        <f t="shared" si="272"/>
        <v>0</v>
      </c>
      <c r="DR22" s="5">
        <f>DR5+DR10+DR15+DR20</f>
        <v>-892.45000000000039</v>
      </c>
      <c r="DS22" s="5">
        <f t="shared" ref="DS22:FM22" si="273">DS5+DS10+DS15+DS20</f>
        <v>2769.3400000000006</v>
      </c>
      <c r="DT22" s="5">
        <f t="shared" si="273"/>
        <v>2341.6600000000003</v>
      </c>
      <c r="DU22" s="5">
        <f t="shared" si="273"/>
        <v>4788.22</v>
      </c>
      <c r="DV22" s="5">
        <f t="shared" si="273"/>
        <v>1712.1299999999997</v>
      </c>
      <c r="DW22" s="5">
        <f t="shared" si="273"/>
        <v>13897.119999999999</v>
      </c>
      <c r="DX22" s="5">
        <f t="shared" si="273"/>
        <v>-3768.98</v>
      </c>
      <c r="DY22" s="5">
        <f t="shared" si="273"/>
        <v>2709.29</v>
      </c>
      <c r="DZ22" s="5">
        <f t="shared" si="273"/>
        <v>-3134.7200000000003</v>
      </c>
      <c r="EA22" s="5">
        <f t="shared" si="273"/>
        <v>2373.3099999999995</v>
      </c>
      <c r="EB22" s="5">
        <f t="shared" si="273"/>
        <v>7042.85</v>
      </c>
      <c r="EC22" s="5">
        <f t="shared" si="273"/>
        <v>-1030.3200000000008</v>
      </c>
      <c r="ED22" s="5">
        <f t="shared" ref="ED22:EO22" si="274">ED5+ED10+ED15+ED20</f>
        <v>-530.08999999999946</v>
      </c>
      <c r="EE22" s="5">
        <f t="shared" si="274"/>
        <v>2266.5100000000007</v>
      </c>
      <c r="EF22" s="5">
        <f t="shared" si="274"/>
        <v>-3458.8799999999997</v>
      </c>
      <c r="EG22" s="5">
        <f t="shared" si="274"/>
        <v>2948.55</v>
      </c>
      <c r="EH22" s="5">
        <f t="shared" si="274"/>
        <v>254.83000000000067</v>
      </c>
      <c r="EI22" s="5">
        <f t="shared" si="274"/>
        <v>3155.1099999999992</v>
      </c>
      <c r="EJ22" s="5">
        <f t="shared" si="274"/>
        <v>-992.57000000000016</v>
      </c>
      <c r="EK22" s="5">
        <f t="shared" si="274"/>
        <v>253.17000000000036</v>
      </c>
      <c r="EL22" s="5">
        <f t="shared" si="274"/>
        <v>-5965.9699999999993</v>
      </c>
      <c r="EM22" s="5">
        <f t="shared" si="274"/>
        <v>3662.91</v>
      </c>
      <c r="EN22" s="5">
        <f t="shared" si="274"/>
        <v>895.51</v>
      </c>
      <c r="EO22" s="5">
        <f t="shared" si="274"/>
        <v>1731.8600000000008</v>
      </c>
      <c r="EP22" s="5">
        <f t="shared" si="273"/>
        <v>-1245.5199999999998</v>
      </c>
      <c r="EQ22" s="5">
        <f t="shared" si="273"/>
        <v>-3188.4199999999973</v>
      </c>
      <c r="ER22" s="5">
        <f t="shared" si="273"/>
        <v>-1474.1100000000006</v>
      </c>
      <c r="ES22" s="5">
        <f t="shared" si="273"/>
        <v>34.929999999999893</v>
      </c>
      <c r="ET22" s="5">
        <f t="shared" si="273"/>
        <v>4908.32</v>
      </c>
      <c r="EU22" s="5">
        <f t="shared" si="273"/>
        <v>5083.08</v>
      </c>
      <c r="EV22" s="5">
        <f t="shared" si="273"/>
        <v>-4023.7799999999988</v>
      </c>
      <c r="EW22" s="5">
        <f t="shared" si="273"/>
        <v>-237.97000000000099</v>
      </c>
      <c r="EX22" s="5">
        <f t="shared" si="273"/>
        <v>-2116.4300000000007</v>
      </c>
      <c r="EY22" s="5">
        <f t="shared" si="273"/>
        <v>7337.57</v>
      </c>
      <c r="EZ22" s="5">
        <f t="shared" si="273"/>
        <v>-5059.5599999999995</v>
      </c>
      <c r="FA22" s="5">
        <f t="shared" si="273"/>
        <v>2384.4799999999977</v>
      </c>
      <c r="FB22" s="5">
        <f t="shared" si="273"/>
        <v>-2053.5700000000006</v>
      </c>
      <c r="FC22" s="5">
        <f t="shared" si="273"/>
        <v>539.39999999999816</v>
      </c>
      <c r="FD22" s="5">
        <f t="shared" si="273"/>
        <v>-220.72000000000085</v>
      </c>
      <c r="FE22" s="5">
        <f t="shared" si="273"/>
        <v>966.38000000000022</v>
      </c>
      <c r="FF22" s="5">
        <f t="shared" si="273"/>
        <v>-3475.3600000000019</v>
      </c>
      <c r="FG22" s="5">
        <f t="shared" si="273"/>
        <v>2520.7399999999998</v>
      </c>
      <c r="FH22" s="5">
        <f t="shared" si="273"/>
        <v>-276.17999999999938</v>
      </c>
      <c r="FI22" s="5">
        <f t="shared" si="273"/>
        <v>288.27999999999906</v>
      </c>
      <c r="FJ22" s="5">
        <f t="shared" si="273"/>
        <v>-2161.6200000000017</v>
      </c>
      <c r="FK22" s="5">
        <f t="shared" si="273"/>
        <v>3648.2500000000009</v>
      </c>
      <c r="FL22" s="5">
        <f t="shared" si="273"/>
        <v>-1483.7600000000004</v>
      </c>
      <c r="FM22" s="5">
        <f t="shared" si="273"/>
        <v>884.72999999999922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opLeftCell="A43" workbookViewId="0">
      <selection activeCell="B63" sqref="B63"/>
    </sheetView>
  </sheetViews>
  <sheetFormatPr defaultColWidth="12.140625" defaultRowHeight="15" x14ac:dyDescent="0.25"/>
  <cols>
    <col min="2" max="2" width="23.5703125" customWidth="1"/>
  </cols>
  <sheetData>
    <row r="1" spans="1:15" x14ac:dyDescent="0.25"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O1" s="2" t="s">
        <v>7</v>
      </c>
    </row>
    <row r="2" spans="1:15" x14ac:dyDescent="0.25">
      <c r="A2">
        <v>2007</v>
      </c>
      <c r="B2" s="3">
        <f>Data!N22</f>
        <v>0</v>
      </c>
      <c r="C2" s="3">
        <f>Data!O22</f>
        <v>1750.94</v>
      </c>
      <c r="D2" s="3">
        <f>Data!P22</f>
        <v>-1090.7699999999998</v>
      </c>
      <c r="E2" s="3">
        <f>Data!Q22</f>
        <v>0</v>
      </c>
      <c r="F2" s="3">
        <f>Data!R22</f>
        <v>1994.83</v>
      </c>
      <c r="G2" s="3">
        <f>Data!S22</f>
        <v>-407.53</v>
      </c>
      <c r="H2" s="3">
        <f>Data!T22</f>
        <v>390.43000000000006</v>
      </c>
      <c r="I2" s="3">
        <f>Data!U22</f>
        <v>3206.58</v>
      </c>
      <c r="J2" s="3">
        <f>Data!V22</f>
        <v>-1364.9299999999994</v>
      </c>
      <c r="K2" s="3">
        <f>Data!W22</f>
        <v>2262.970000000003</v>
      </c>
      <c r="L2" s="3">
        <f>Data!X22</f>
        <v>-968.16999999999985</v>
      </c>
      <c r="M2" s="3">
        <f>Data!Y22</f>
        <v>1935.3600000000001</v>
      </c>
      <c r="N2" s="3"/>
      <c r="O2" s="3"/>
    </row>
    <row r="3" spans="1:15" x14ac:dyDescent="0.25">
      <c r="A3">
        <v>2008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O3" s="3"/>
    </row>
    <row r="4" spans="1:15" x14ac:dyDescent="0.25">
      <c r="A4">
        <v>2009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  <c r="O4" s="3"/>
    </row>
    <row r="5" spans="1:15" x14ac:dyDescent="0.25">
      <c r="A5">
        <v>2010</v>
      </c>
      <c r="B5" s="3">
        <f>Data!AX22</f>
        <v>3653.7400000000016</v>
      </c>
      <c r="C5" s="3">
        <f>Data!AY22</f>
        <v>-3248.3299999999995</v>
      </c>
      <c r="D5" s="3">
        <f>Data!AZ22</f>
        <v>2615.4</v>
      </c>
      <c r="E5" s="3">
        <f>Data!BA22</f>
        <v>3505.5499999999997</v>
      </c>
      <c r="F5" s="3">
        <f>Data!BB22</f>
        <v>4860.2</v>
      </c>
      <c r="G5" s="3">
        <f>Data!BC22</f>
        <v>0</v>
      </c>
      <c r="H5" s="3">
        <f>Data!BD22</f>
        <v>-6669.9</v>
      </c>
      <c r="I5" s="3">
        <f>Data!BE22</f>
        <v>-1289.92</v>
      </c>
      <c r="J5" s="3">
        <f>Data!BF22</f>
        <v>-3787.2299999999996</v>
      </c>
      <c r="K5" s="3">
        <f>Data!BG22</f>
        <v>6038.56</v>
      </c>
      <c r="L5" s="3">
        <f>Data!BH22</f>
        <v>284.03999999999974</v>
      </c>
      <c r="M5" s="3">
        <f>Data!BI22</f>
        <v>-3025.2299999999987</v>
      </c>
      <c r="N5" s="3"/>
      <c r="O5" s="3">
        <f t="shared" ref="O5:O13" si="0">SUM(B5:M5)</f>
        <v>2936.8800000000037</v>
      </c>
    </row>
    <row r="6" spans="1:15" x14ac:dyDescent="0.25">
      <c r="A6">
        <f>A5+1</f>
        <v>2011</v>
      </c>
      <c r="B6" s="3">
        <f>Data!BJ22</f>
        <v>-397.85999999999967</v>
      </c>
      <c r="C6" s="3">
        <f>Data!BK22</f>
        <v>-2769.39</v>
      </c>
      <c r="D6" s="3">
        <f>Data!BL22</f>
        <v>-1559.3200000000011</v>
      </c>
      <c r="E6" s="3">
        <f>Data!BM22</f>
        <v>7743.61</v>
      </c>
      <c r="F6" s="3">
        <f>Data!BN22</f>
        <v>539.34000000000049</v>
      </c>
      <c r="G6" s="3">
        <f>Data!BO22</f>
        <v>375.61999999999978</v>
      </c>
      <c r="H6" s="3">
        <f>Data!BP22</f>
        <v>-1511.5500000000002</v>
      </c>
      <c r="I6" s="3">
        <f>Data!BQ22</f>
        <v>-458.46000000000038</v>
      </c>
      <c r="J6" s="3">
        <f>Data!BR22</f>
        <v>-6262.09</v>
      </c>
      <c r="K6" s="3">
        <f>Data!BS22</f>
        <v>0</v>
      </c>
      <c r="L6" s="3">
        <f>Data!BT22</f>
        <v>0</v>
      </c>
      <c r="M6" s="3">
        <f>Data!BU22</f>
        <v>-1140.6899999999996</v>
      </c>
      <c r="N6" s="3"/>
      <c r="O6" s="3">
        <f t="shared" si="0"/>
        <v>-5440.7900000000009</v>
      </c>
    </row>
    <row r="7" spans="1:15" x14ac:dyDescent="0.25">
      <c r="A7">
        <f t="shared" ref="A7:A11" si="1">A6+1</f>
        <v>2012</v>
      </c>
      <c r="B7" s="3">
        <f>Data!BV22</f>
        <v>-3818.9499999999994</v>
      </c>
      <c r="C7" s="3">
        <f>Data!BW22</f>
        <v>-1491.0000000000002</v>
      </c>
      <c r="D7" s="3">
        <f>Data!BX22</f>
        <v>3162.8700000000003</v>
      </c>
      <c r="E7" s="3">
        <f>Data!BY22</f>
        <v>4524.7300000000005</v>
      </c>
      <c r="F7" s="3">
        <f>Data!BZ22</f>
        <v>-996.00999999999988</v>
      </c>
      <c r="G7" s="3">
        <f>Data!CA22</f>
        <v>1279.7599999999993</v>
      </c>
      <c r="H7" s="3">
        <f>Data!CB22</f>
        <v>-1490.3400000000011</v>
      </c>
      <c r="I7" s="3">
        <f>Data!CC22</f>
        <v>-346.88000000000034</v>
      </c>
      <c r="J7" s="3">
        <f>Data!CD22</f>
        <v>-6295.75</v>
      </c>
      <c r="K7" s="3">
        <f>Data!CE22</f>
        <v>16927.879999999997</v>
      </c>
      <c r="L7" s="3">
        <f>Data!CF22</f>
        <v>0</v>
      </c>
      <c r="M7" s="3">
        <f>Data!CG22</f>
        <v>0</v>
      </c>
      <c r="N7" s="3"/>
      <c r="O7" s="3">
        <f t="shared" si="0"/>
        <v>11456.309999999998</v>
      </c>
    </row>
    <row r="8" spans="1:15" x14ac:dyDescent="0.25">
      <c r="A8">
        <f t="shared" si="1"/>
        <v>2013</v>
      </c>
      <c r="B8" s="3">
        <f>Data!CH22</f>
        <v>0</v>
      </c>
      <c r="C8" s="3">
        <f>Data!CI22</f>
        <v>0</v>
      </c>
      <c r="D8" s="3">
        <f>Data!CJ22</f>
        <v>0</v>
      </c>
      <c r="E8" s="3">
        <f>Data!CK22</f>
        <v>0</v>
      </c>
      <c r="F8" s="3">
        <f>Data!CL22</f>
        <v>0</v>
      </c>
      <c r="G8" s="3">
        <f>Data!CM22</f>
        <v>0</v>
      </c>
      <c r="H8" s="3">
        <f>Data!CN22</f>
        <v>0</v>
      </c>
      <c r="I8" s="3">
        <f>Data!CO22</f>
        <v>0</v>
      </c>
      <c r="J8" s="3">
        <f>Data!CP22</f>
        <v>0</v>
      </c>
      <c r="K8" s="3">
        <f>Data!CQ22</f>
        <v>0</v>
      </c>
      <c r="L8" s="3">
        <f>Data!CR22</f>
        <v>0</v>
      </c>
      <c r="M8" s="3">
        <f>Data!CS22</f>
        <v>0</v>
      </c>
      <c r="N8" s="3"/>
      <c r="O8" s="3">
        <f t="shared" si="0"/>
        <v>0</v>
      </c>
    </row>
    <row r="9" spans="1:15" x14ac:dyDescent="0.25">
      <c r="A9">
        <f t="shared" si="1"/>
        <v>2014</v>
      </c>
      <c r="B9" s="3">
        <f>Data!CT22</f>
        <v>0</v>
      </c>
      <c r="C9" s="3">
        <f>Data!CU22</f>
        <v>0</v>
      </c>
      <c r="D9" s="3">
        <f>Data!CV22</f>
        <v>0</v>
      </c>
      <c r="E9" s="3">
        <f>Data!CW22</f>
        <v>0</v>
      </c>
      <c r="F9" s="3">
        <f>Data!CX22</f>
        <v>0</v>
      </c>
      <c r="G9" s="3">
        <f>Data!CY22</f>
        <v>0</v>
      </c>
      <c r="H9" s="3">
        <f>Data!CZ22</f>
        <v>0</v>
      </c>
      <c r="I9" s="3">
        <f>Data!DA22</f>
        <v>0</v>
      </c>
      <c r="J9" s="3">
        <f>Data!DB22</f>
        <v>0</v>
      </c>
      <c r="K9" s="3">
        <f>Data!DC22</f>
        <v>6525.0300000000016</v>
      </c>
      <c r="L9" s="3">
        <f>Data!DD22</f>
        <v>-2823.6100000000006</v>
      </c>
      <c r="M9" s="3">
        <f>Data!DE22</f>
        <v>-2867.37</v>
      </c>
      <c r="N9" s="3"/>
      <c r="O9" s="3">
        <f t="shared" si="0"/>
        <v>834.05000000000109</v>
      </c>
    </row>
    <row r="10" spans="1:15" x14ac:dyDescent="0.25">
      <c r="A10">
        <f t="shared" si="1"/>
        <v>2015</v>
      </c>
      <c r="B10" s="3">
        <f>Data!DF22</f>
        <v>2525.1799999999994</v>
      </c>
      <c r="C10" s="3">
        <f>Data!DG22</f>
        <v>0</v>
      </c>
      <c r="D10" s="3">
        <f>Data!DH22</f>
        <v>242.16000000000059</v>
      </c>
      <c r="E10" s="3">
        <f>Data!DI22</f>
        <v>0</v>
      </c>
      <c r="F10" s="3">
        <f>Data!DJ22</f>
        <v>125.47999999999993</v>
      </c>
      <c r="G10" s="3">
        <f>Data!DK22</f>
        <v>2889.0399999999991</v>
      </c>
      <c r="H10" s="3">
        <f>Data!DL22</f>
        <v>-2854.1999999999989</v>
      </c>
      <c r="I10" s="3">
        <f>Data!DM22</f>
        <v>5495.9000000000005</v>
      </c>
      <c r="J10" s="3">
        <f>Data!DN22</f>
        <v>2209.0899999999997</v>
      </c>
      <c r="K10" s="3">
        <f>Data!DO22</f>
        <v>8901.94</v>
      </c>
      <c r="L10" s="3">
        <f>Data!DP22</f>
        <v>0</v>
      </c>
      <c r="M10" s="3">
        <f>Data!DQ22</f>
        <v>0</v>
      </c>
      <c r="N10" s="3"/>
      <c r="O10" s="3">
        <f t="shared" si="0"/>
        <v>19534.590000000004</v>
      </c>
    </row>
    <row r="11" spans="1:15" x14ac:dyDescent="0.25">
      <c r="A11">
        <f t="shared" si="1"/>
        <v>2016</v>
      </c>
      <c r="B11" s="3">
        <f>Data!DR22</f>
        <v>-892.45000000000039</v>
      </c>
      <c r="C11" s="3">
        <f>Data!DS22</f>
        <v>2769.3400000000006</v>
      </c>
      <c r="D11" s="3">
        <f>Data!DT22</f>
        <v>2341.6600000000003</v>
      </c>
      <c r="E11" s="3">
        <f>Data!DU22</f>
        <v>4788.22</v>
      </c>
      <c r="F11" s="3">
        <f>Data!DV22</f>
        <v>1712.1299999999997</v>
      </c>
      <c r="G11" s="3">
        <f>Data!DW22</f>
        <v>13897.119999999999</v>
      </c>
      <c r="H11" s="3">
        <f>Data!DX22</f>
        <v>-3768.98</v>
      </c>
      <c r="I11" s="3">
        <f>Data!DY22</f>
        <v>2709.29</v>
      </c>
      <c r="J11" s="3">
        <f>Data!DZ22</f>
        <v>-3134.7200000000003</v>
      </c>
      <c r="K11" s="3">
        <f>Data!EA22</f>
        <v>2373.3099999999995</v>
      </c>
      <c r="L11" s="3">
        <f>Data!EB22</f>
        <v>7042.85</v>
      </c>
      <c r="M11" s="3">
        <f>Data!EC22</f>
        <v>-1030.3200000000008</v>
      </c>
      <c r="N11" s="3"/>
      <c r="O11" s="3">
        <f t="shared" si="0"/>
        <v>28807.449999999997</v>
      </c>
    </row>
    <row r="12" spans="1:15" x14ac:dyDescent="0.25">
      <c r="A12">
        <v>2017</v>
      </c>
      <c r="B12" s="3">
        <f>Data!ED22</f>
        <v>-530.08999999999946</v>
      </c>
      <c r="C12" s="3">
        <f>Data!EE22</f>
        <v>2266.5100000000007</v>
      </c>
      <c r="D12" s="3">
        <f>Data!EF22</f>
        <v>-3458.8799999999997</v>
      </c>
      <c r="E12" s="3">
        <f>Data!EG22</f>
        <v>2948.55</v>
      </c>
      <c r="F12" s="3">
        <f>Data!EH22</f>
        <v>254.83000000000067</v>
      </c>
      <c r="G12" s="3">
        <f>Data!EI22</f>
        <v>3155.1099999999992</v>
      </c>
      <c r="H12" s="3">
        <f>Data!EJ22</f>
        <v>-992.57000000000016</v>
      </c>
      <c r="I12" s="3">
        <f>Data!EK22</f>
        <v>253.17000000000036</v>
      </c>
      <c r="J12" s="3">
        <f>Data!EL22</f>
        <v>-5965.9699999999993</v>
      </c>
      <c r="K12" s="3">
        <f>Data!EM22</f>
        <v>3662.91</v>
      </c>
      <c r="L12" s="3">
        <f>Data!EN22</f>
        <v>895.51</v>
      </c>
      <c r="M12" s="3">
        <f>Data!EO22</f>
        <v>1731.8600000000008</v>
      </c>
      <c r="N12" s="3"/>
      <c r="O12" s="3">
        <f t="shared" si="0"/>
        <v>4220.9400000000032</v>
      </c>
    </row>
    <row r="13" spans="1:15" x14ac:dyDescent="0.25">
      <c r="A13">
        <v>2018</v>
      </c>
      <c r="B13" s="3">
        <f>Data!EP22</f>
        <v>-1245.5199999999998</v>
      </c>
      <c r="C13" s="3">
        <f>Data!EQ22</f>
        <v>-3188.4199999999973</v>
      </c>
      <c r="D13" s="3">
        <f>Data!ER22</f>
        <v>-1474.1100000000006</v>
      </c>
      <c r="E13" s="3">
        <f>Data!ES22</f>
        <v>34.929999999999893</v>
      </c>
      <c r="F13" s="3">
        <f>Data!ET22</f>
        <v>4908.32</v>
      </c>
      <c r="G13" s="3">
        <f>Data!EU22</f>
        <v>5083.08</v>
      </c>
      <c r="H13" s="3">
        <f>Data!EV22</f>
        <v>-4023.7799999999988</v>
      </c>
      <c r="I13" s="3">
        <f>Data!EW22</f>
        <v>-237.97000000000099</v>
      </c>
      <c r="J13" s="3">
        <f>Data!EX22</f>
        <v>-2116.4300000000007</v>
      </c>
      <c r="K13" s="3">
        <f>Data!EY22</f>
        <v>7337.57</v>
      </c>
      <c r="L13" s="3">
        <f>Data!EZ22</f>
        <v>-5059.5599999999995</v>
      </c>
      <c r="M13" s="3">
        <f>Data!FA22</f>
        <v>2384.4799999999977</v>
      </c>
      <c r="N13" s="3"/>
      <c r="O13" s="3">
        <f t="shared" si="0"/>
        <v>2402.59</v>
      </c>
    </row>
    <row r="14" spans="1:15" x14ac:dyDescent="0.25">
      <c r="A14">
        <v>2019</v>
      </c>
      <c r="B14" s="3">
        <f>Data!FB22</f>
        <v>-2053.5700000000006</v>
      </c>
      <c r="C14" s="3">
        <f>Data!FC22</f>
        <v>539.39999999999816</v>
      </c>
      <c r="D14" s="3">
        <f>Data!FD22</f>
        <v>-220.72000000000085</v>
      </c>
      <c r="E14" s="3">
        <f>Data!FE22</f>
        <v>966.38000000000022</v>
      </c>
      <c r="F14" s="3">
        <f>Data!FF22</f>
        <v>-3475.3600000000019</v>
      </c>
      <c r="G14" s="3">
        <f>Data!FG22</f>
        <v>2520.7399999999998</v>
      </c>
      <c r="H14" s="3">
        <f>Data!FH22</f>
        <v>-276.17999999999938</v>
      </c>
      <c r="I14" s="3">
        <f>Data!FI22</f>
        <v>288.27999999999906</v>
      </c>
      <c r="J14" s="3">
        <f>Data!FJ22</f>
        <v>-2161.6200000000017</v>
      </c>
      <c r="K14" s="3">
        <f>Data!FK22</f>
        <v>3648.2500000000009</v>
      </c>
      <c r="L14" s="3">
        <f>Data!FL22</f>
        <v>-1483.7600000000004</v>
      </c>
      <c r="M14" s="3">
        <f>Data!FM22</f>
        <v>884.72999999999922</v>
      </c>
      <c r="N14" s="3"/>
      <c r="O14" s="3">
        <f>SUM(B14:M14)</f>
        <v>-823.43000000000814</v>
      </c>
    </row>
    <row r="15" spans="1:1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48" spans="2:2" x14ac:dyDescent="0.25">
      <c r="B48" t="s">
        <v>170</v>
      </c>
    </row>
    <row r="49" spans="1:3" x14ac:dyDescent="0.25">
      <c r="B49" t="s">
        <v>171</v>
      </c>
      <c r="C49" t="s">
        <v>172</v>
      </c>
    </row>
    <row r="50" spans="1:3" x14ac:dyDescent="0.25">
      <c r="A50">
        <v>2010</v>
      </c>
      <c r="B50">
        <f>SUM(Data!AX$3:BI$3)+SUM(Data!AX$8:BI$8)+SUM(Data!AX$13:BI$13)+SUM(Data!AX$18:BI$18)</f>
        <v>147997.39000000001</v>
      </c>
      <c r="C50">
        <f>SUM(Data!AX$4:BI$4)+SUM(Data!AX$9:BI$9)+SUM(Data!AX$14:BI$14)+SUM(Data!AX$19:BI$19)</f>
        <v>145060.50999999998</v>
      </c>
    </row>
    <row r="51" spans="1:3" x14ac:dyDescent="0.25">
      <c r="A51">
        <v>2011</v>
      </c>
      <c r="B51">
        <f>SUM(Data!BJ$3:BU$3)+SUM(Data!BJ$8:BU$8)+SUM(Data!BJ$13:BU$13)+SUM(Data!BJ$18:BU$18)</f>
        <v>130137.99</v>
      </c>
      <c r="C51">
        <f>SUM(Data!BJ$4:BU$4)+SUM(Data!BJ$9:BU$9)+SUM(Data!BJ$14:BU$14)+SUM(Data!BJ$19:BU$19)</f>
        <v>135578.78</v>
      </c>
    </row>
    <row r="52" spans="1:3" x14ac:dyDescent="0.25">
      <c r="A52">
        <v>2012</v>
      </c>
      <c r="B52">
        <f>SUM(Data!BV$3:CG$3)+SUM(Data!BV$8:CG$8)+SUM(Data!BV$13:CG$13)+SUM(Data!BV$18:CG$18)</f>
        <v>147886.71</v>
      </c>
      <c r="C52">
        <f>SUM(Data!BV$4:CG$4)+SUM(Data!BV$9:CG$9)+SUM(Data!BV$14:CG$14)+SUM(Data!BV$19:CG$19)</f>
        <v>136430.39999999999</v>
      </c>
    </row>
    <row r="53" spans="1:3" x14ac:dyDescent="0.25">
      <c r="A53">
        <v>2013</v>
      </c>
      <c r="B53">
        <f>SUM(Data!CH$3:CS$3)+SUM(Data!CH$8:CS$8)+SUM(Data!CH$13:CS$13)+SUM(Data!CH$18:CS$18)</f>
        <v>0</v>
      </c>
      <c r="C53">
        <f>SUM(Data!CH$4:CS$4)+SUM(Data!CH$9:CS$9)+SUM(Data!CH$14:CS$14)+SUM(Data!CH$19:CS$19)</f>
        <v>0</v>
      </c>
    </row>
    <row r="54" spans="1:3" x14ac:dyDescent="0.25">
      <c r="A54">
        <v>2014</v>
      </c>
      <c r="B54">
        <f>SUM(Data!CT$3:DE$3)+SUM(Data!CT$8:DE$8)+SUM(Data!CT$13:DE$13)+SUM(Data!CT$18:DE$18)</f>
        <v>51712.719999999994</v>
      </c>
      <c r="C54">
        <f>SUM(Data!CT$4:DE$4)+SUM(Data!CT$9:DE$9)+SUM(Data!CT$14:DE$14)+SUM(Data!CT$19:DE$19)</f>
        <v>50878.67</v>
      </c>
    </row>
    <row r="55" spans="1:3" x14ac:dyDescent="0.25">
      <c r="A55">
        <v>2015</v>
      </c>
      <c r="B55">
        <f>SUM(Data!DF$3:DQ$3)+SUM(Data!DF$8:DQ$8)+SUM(Data!DF$13:DQ$13)+SUM(Data!DF$18:DQ$18)</f>
        <v>108828.73</v>
      </c>
      <c r="C55">
        <f>SUM(Data!DF$4:DQ$4)+SUM(Data!DF$9:DQ$9)+SUM(Data!DF$14:DQ$14)+SUM(Data!DF$19:DQ$19)</f>
        <v>89294.14</v>
      </c>
    </row>
    <row r="56" spans="1:3" x14ac:dyDescent="0.25">
      <c r="A56">
        <v>2016</v>
      </c>
      <c r="B56">
        <f>SUM(Data!DR$3:EC$3)+SUM(Data!DR$8:EC$8)+SUM(Data!DR$13:EC$13)+SUM(Data!DR$18:EC$18)</f>
        <v>143983.42000000001</v>
      </c>
      <c r="C56">
        <f>SUM(Data!DR$4:EC$4)+SUM(Data!DR$9:EC$9)+SUM(Data!DR$14:EC$14)+SUM(Data!DR$19:EC$19)</f>
        <v>115175.97</v>
      </c>
    </row>
    <row r="57" spans="1:3" x14ac:dyDescent="0.25">
      <c r="A57">
        <v>2017</v>
      </c>
      <c r="B57">
        <f>SUM(Data!ED$3:EO$3)+SUM(Data!ED$8:EO$8)+SUM(Data!ED$13:EO$13)+SUM(Data!ED$18:EO$18)</f>
        <v>125128.1</v>
      </c>
      <c r="C57">
        <f>SUM(Data!ED$4:EO$4)+SUM(Data!ED$9:EO$9)+SUM(Data!ED$14:EO$14)+SUM(Data!ED$19:EO$19)</f>
        <v>120907.15999999999</v>
      </c>
    </row>
    <row r="58" spans="1:3" x14ac:dyDescent="0.25">
      <c r="A58">
        <v>2018</v>
      </c>
      <c r="B58">
        <f>SUM(Data!EP$3:FA$3)+SUM(Data!EP$8:FA$8)+SUM(Data!EP$13:FA$13)+SUM(Data!EP$18:FA$18)</f>
        <v>125664.90999999999</v>
      </c>
      <c r="C58">
        <f>SUM(Data!EP$4:FA$4)+SUM(Data!EP$9:FA$9)+SUM(Data!EP$14:FA$14)+SUM(Data!EP$19:FA$19)</f>
        <v>123262.31999999999</v>
      </c>
    </row>
    <row r="59" spans="1:3" x14ac:dyDescent="0.25">
      <c r="A59">
        <v>2019</v>
      </c>
      <c r="B59">
        <f>SUM(Data!FB$3:FM$3)+SUM(Data!FB$8:FM$8)+SUM(Data!FB$13:FM$13)+SUM(Data!FB$18:FM$18)</f>
        <v>108458.13</v>
      </c>
      <c r="C59">
        <f>SUM(Data!FB$4:FM$4)+SUM(Data!FB$9:FM$9)+SUM(Data!FB$14:FM$14)+SUM(Data!FB$19:FM$19)</f>
        <v>109281.56000000001</v>
      </c>
    </row>
  </sheetData>
  <pageMargins left="0.7" right="0.7" top="0.75" bottom="0.75" header="0.3" footer="0.3"/>
  <pageSetup scale="55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8:M107"/>
  <sheetViews>
    <sheetView topLeftCell="A82" workbookViewId="0">
      <selection activeCell="I94" sqref="I94"/>
    </sheetView>
  </sheetViews>
  <sheetFormatPr defaultRowHeight="15" x14ac:dyDescent="0.25"/>
  <cols>
    <col min="1" max="1" width="18.140625" bestFit="1" customWidth="1"/>
    <col min="2" max="5" width="9.85546875" bestFit="1" customWidth="1"/>
    <col min="7" max="7" width="10.140625" bestFit="1" customWidth="1"/>
    <col min="8" max="9" width="9.85546875" bestFit="1" customWidth="1"/>
    <col min="10" max="10" width="10.85546875" bestFit="1" customWidth="1"/>
    <col min="11" max="11" width="10.140625" bestFit="1" customWidth="1"/>
    <col min="12" max="12" width="10.42578125" bestFit="1" customWidth="1"/>
    <col min="13" max="13" width="10.140625" bestFit="1" customWidth="1"/>
  </cols>
  <sheetData>
    <row r="48" spans="1:8" x14ac:dyDescent="0.25">
      <c r="A48" s="81"/>
      <c r="B48" s="81">
        <v>2018</v>
      </c>
      <c r="C48" s="81">
        <v>2018</v>
      </c>
      <c r="D48" s="81">
        <v>2018</v>
      </c>
      <c r="E48" s="81">
        <v>2018</v>
      </c>
      <c r="F48" s="81">
        <v>2018</v>
      </c>
      <c r="G48" s="81">
        <v>2018</v>
      </c>
      <c r="H48" s="81">
        <v>2018</v>
      </c>
    </row>
    <row r="49" spans="1:8" x14ac:dyDescent="0.25">
      <c r="A49" s="82" t="s">
        <v>3</v>
      </c>
      <c r="B49" s="83">
        <v>43101</v>
      </c>
      <c r="C49" s="83">
        <v>43132</v>
      </c>
      <c r="D49" s="83">
        <v>43160</v>
      </c>
      <c r="E49" s="83">
        <v>43191</v>
      </c>
      <c r="F49" s="83">
        <v>43221</v>
      </c>
      <c r="G49" s="83">
        <v>43252</v>
      </c>
      <c r="H49" s="83">
        <v>43282</v>
      </c>
    </row>
    <row r="50" spans="1:8" x14ac:dyDescent="0.25">
      <c r="A50" s="84" t="s">
        <v>1</v>
      </c>
      <c r="B50" s="85">
        <v>5201</v>
      </c>
      <c r="C50" s="85">
        <f>2225+563.46+12.5+966+525+89</f>
        <v>4380.96</v>
      </c>
      <c r="D50" s="85">
        <f>817+137+37.5+0.5+1780+433+250+65+1295+1150+890+291+75+830+241</f>
        <v>8292</v>
      </c>
      <c r="E50" s="85">
        <f>1508+707+383+114+1558+760+670+488+501+25</f>
        <v>6714</v>
      </c>
      <c r="F50" s="85">
        <f>1892+917+25+1920+912+766+570+340</f>
        <v>7342</v>
      </c>
      <c r="G50" s="85">
        <f>1625+1141+480+858+649.25+250</f>
        <v>5003.25</v>
      </c>
      <c r="H50" s="85">
        <f>1452+50+1090+225+470+284+260+766+405+561+215+6</f>
        <v>5784</v>
      </c>
    </row>
    <row r="51" spans="1:8" x14ac:dyDescent="0.25">
      <c r="A51" s="84" t="s">
        <v>0</v>
      </c>
      <c r="B51" s="86">
        <v>6627.57</v>
      </c>
      <c r="C51" s="86">
        <f>1721+691.67+190.33+981.92+130+328.56+130+328.56+50+315.11+1519.5+57+339.12+18.62+722.82+176.4+29.4+13+48.09+445+9.8+113.33</f>
        <v>8359.2299999999977</v>
      </c>
      <c r="D51" s="86">
        <f>1721+691.67+190.33+981.92+130+328.56+28.5+325+50+130+328.56+124.1+65.92+375+511.37+84.76+630.22+146.03+114.75+1095.55</f>
        <v>8053.2400000000007</v>
      </c>
      <c r="E51" s="86">
        <f>1721+691.67+190.33+981.92+130+315.56+195+328.56+44.02+244.83+300+18.62+125+100+68.25+251.56+113.33+871.85+1554.5+259.81+18.62+65+25+92.4</f>
        <v>8706.83</v>
      </c>
      <c r="F51" s="86">
        <f>1721+691.67+190.33+981.92+65+328.56+130+328.56+59.33+319.27+18.62+328.56+72.86+75+150+733.53+180.6+30.1+13+75+1464.1+251.18+113.15</f>
        <v>8321.34</v>
      </c>
      <c r="G51" s="86">
        <f>1721+691.67+190.33+981.92+130+351.65+130+328.56+130+166.87+60+176.2+113.15+40.96</f>
        <v>5212.3099999999995</v>
      </c>
      <c r="H51" s="86">
        <f>1721+691.67+190.33+981.92+130+328.56+300+100+328.56+50+75+18.62+45.5+130+328.56+159.42+1364.5+125+6.7+50.92+18.62+100+628.74+75+442+112.82+259.25+114.56+10+30+79.2</f>
        <v>8996.4499999999989</v>
      </c>
    </row>
    <row r="52" spans="1:8" x14ac:dyDescent="0.25">
      <c r="A52" s="84" t="s">
        <v>2</v>
      </c>
      <c r="B52" s="84">
        <f t="shared" ref="B52:H52" si="0">B50-B51</f>
        <v>-1426.5699999999997</v>
      </c>
      <c r="C52" s="84">
        <f t="shared" si="0"/>
        <v>-3978.2699999999977</v>
      </c>
      <c r="D52" s="84">
        <f t="shared" si="0"/>
        <v>238.75999999999931</v>
      </c>
      <c r="E52" s="84">
        <f t="shared" si="0"/>
        <v>-1992.83</v>
      </c>
      <c r="F52" s="84">
        <f t="shared" si="0"/>
        <v>-979.34000000000015</v>
      </c>
      <c r="G52" s="84">
        <f t="shared" si="0"/>
        <v>-209.05999999999949</v>
      </c>
      <c r="H52" s="84">
        <f t="shared" si="0"/>
        <v>-3212.4499999999989</v>
      </c>
    </row>
    <row r="53" spans="1:8" x14ac:dyDescent="0.25">
      <c r="A53" s="84"/>
      <c r="B53" s="84"/>
      <c r="C53" s="84"/>
      <c r="D53" s="84"/>
      <c r="E53" s="84"/>
      <c r="F53" s="84"/>
      <c r="G53" s="84"/>
      <c r="H53" s="84"/>
    </row>
    <row r="54" spans="1:8" x14ac:dyDescent="0.25">
      <c r="A54" s="87" t="s">
        <v>4</v>
      </c>
      <c r="B54" s="84"/>
      <c r="C54" s="84"/>
      <c r="D54" s="84"/>
      <c r="E54" s="84"/>
      <c r="F54" s="84"/>
      <c r="G54" s="84"/>
      <c r="H54" s="84"/>
    </row>
    <row r="55" spans="1:8" x14ac:dyDescent="0.25">
      <c r="A55" s="84" t="s">
        <v>1</v>
      </c>
      <c r="B55" s="85">
        <v>181</v>
      </c>
      <c r="C55" s="85">
        <f>260+9.8</f>
        <v>269.8</v>
      </c>
      <c r="D55" s="85">
        <f>10+100+10</f>
        <v>120</v>
      </c>
      <c r="E55" s="85">
        <f>100+1554.5+259.81+20+18.62+65</f>
        <v>2017.9299999999998</v>
      </c>
      <c r="F55" s="85">
        <f>5875+120+10+22</f>
        <v>6027</v>
      </c>
      <c r="G55" s="85">
        <f>100+30+5</f>
        <v>135</v>
      </c>
      <c r="H55" s="85">
        <f>10+100+112.82</f>
        <v>222.82</v>
      </c>
    </row>
    <row r="56" spans="1:8" x14ac:dyDescent="0.25">
      <c r="A56" s="84" t="s">
        <v>0</v>
      </c>
      <c r="B56" s="84">
        <v>0</v>
      </c>
      <c r="C56" s="84">
        <v>0</v>
      </c>
      <c r="D56" s="86">
        <f>259.81+1554.5+18.62</f>
        <v>1832.9299999999998</v>
      </c>
      <c r="E56" s="86">
        <f>45.23</f>
        <v>45.23</v>
      </c>
      <c r="F56" s="86">
        <f>65+183+1691.45+9.95+45</f>
        <v>1994.4</v>
      </c>
      <c r="G56" s="86">
        <f>37.82+31.5</f>
        <v>69.319999999999993</v>
      </c>
      <c r="H56" s="86">
        <f>100+200</f>
        <v>300</v>
      </c>
    </row>
    <row r="57" spans="1:8" x14ac:dyDescent="0.25">
      <c r="A57" s="84" t="s">
        <v>2</v>
      </c>
      <c r="B57" s="84">
        <f t="shared" ref="B57:H57" si="1">B55-B56</f>
        <v>181</v>
      </c>
      <c r="C57" s="84">
        <f t="shared" si="1"/>
        <v>269.8</v>
      </c>
      <c r="D57" s="84">
        <f t="shared" si="1"/>
        <v>-1712.9299999999998</v>
      </c>
      <c r="E57" s="84">
        <f t="shared" si="1"/>
        <v>1972.6999999999998</v>
      </c>
      <c r="F57" s="84">
        <f t="shared" si="1"/>
        <v>4032.6</v>
      </c>
      <c r="G57" s="84">
        <f t="shared" si="1"/>
        <v>65.680000000000007</v>
      </c>
      <c r="H57" s="84">
        <f t="shared" si="1"/>
        <v>-77.180000000000007</v>
      </c>
    </row>
    <row r="58" spans="1:8" x14ac:dyDescent="0.25">
      <c r="A58" s="84"/>
      <c r="B58" s="84"/>
      <c r="C58" s="84"/>
      <c r="D58" s="84"/>
      <c r="E58" s="84"/>
      <c r="F58" s="84"/>
      <c r="G58" s="84"/>
      <c r="H58" s="84"/>
    </row>
    <row r="59" spans="1:8" x14ac:dyDescent="0.25">
      <c r="A59" s="87" t="s">
        <v>5</v>
      </c>
      <c r="B59" s="84"/>
      <c r="C59" s="84"/>
      <c r="D59" s="84"/>
      <c r="E59" s="84"/>
      <c r="F59" s="84"/>
      <c r="G59" s="84"/>
      <c r="H59" s="84"/>
    </row>
    <row r="60" spans="1:8" x14ac:dyDescent="0.25">
      <c r="A60" s="84" t="s">
        <v>1</v>
      </c>
      <c r="B60" s="84">
        <v>0.05</v>
      </c>
      <c r="C60" s="84">
        <v>545.04999999999995</v>
      </c>
      <c r="D60" s="86">
        <f>0.06</f>
        <v>0.06</v>
      </c>
      <c r="E60" s="86">
        <f>25.06</f>
        <v>25.06</v>
      </c>
      <c r="F60" s="86">
        <f>30.06</f>
        <v>30.06</v>
      </c>
      <c r="G60" s="86">
        <f>0.06</f>
        <v>0.06</v>
      </c>
      <c r="H60" s="86">
        <f>0.06</f>
        <v>0.06</v>
      </c>
    </row>
    <row r="61" spans="1:8" x14ac:dyDescent="0.25">
      <c r="A61" s="84" t="s">
        <v>0</v>
      </c>
      <c r="B61" s="84">
        <v>0</v>
      </c>
      <c r="C61" s="84">
        <v>0</v>
      </c>
      <c r="D61" s="84">
        <v>0</v>
      </c>
      <c r="E61" s="84">
        <v>0</v>
      </c>
      <c r="F61" s="84">
        <v>0</v>
      </c>
      <c r="G61" s="84">
        <v>0</v>
      </c>
      <c r="H61" s="84">
        <v>0</v>
      </c>
    </row>
    <row r="62" spans="1:8" x14ac:dyDescent="0.25">
      <c r="A62" s="84" t="s">
        <v>2</v>
      </c>
      <c r="B62" s="84">
        <f t="shared" ref="B62:H62" si="2">B60-B61</f>
        <v>0.05</v>
      </c>
      <c r="C62" s="84">
        <f t="shared" si="2"/>
        <v>545.04999999999995</v>
      </c>
      <c r="D62" s="84">
        <f t="shared" si="2"/>
        <v>0.06</v>
      </c>
      <c r="E62" s="84">
        <f t="shared" si="2"/>
        <v>25.06</v>
      </c>
      <c r="F62" s="84">
        <f t="shared" si="2"/>
        <v>30.06</v>
      </c>
      <c r="G62" s="84">
        <f t="shared" si="2"/>
        <v>0.06</v>
      </c>
      <c r="H62" s="84">
        <f t="shared" si="2"/>
        <v>0.06</v>
      </c>
    </row>
    <row r="63" spans="1:8" x14ac:dyDescent="0.25">
      <c r="A63" s="84"/>
      <c r="B63" s="84"/>
      <c r="C63" s="84"/>
      <c r="D63" s="84"/>
      <c r="E63" s="84"/>
      <c r="F63" s="84"/>
      <c r="G63" s="84"/>
      <c r="H63" s="84"/>
    </row>
    <row r="64" spans="1:8" x14ac:dyDescent="0.25">
      <c r="A64" s="87" t="s">
        <v>6</v>
      </c>
      <c r="B64" s="84"/>
      <c r="C64" s="84"/>
      <c r="D64" s="84"/>
      <c r="E64" s="84"/>
      <c r="F64" s="84"/>
      <c r="G64" s="84"/>
      <c r="H64" s="84"/>
    </row>
    <row r="65" spans="1:13" x14ac:dyDescent="0.25">
      <c r="A65" s="84" t="s">
        <v>1</v>
      </c>
      <c r="B65" s="84">
        <v>0</v>
      </c>
      <c r="C65" s="84">
        <v>0</v>
      </c>
      <c r="D65" s="84">
        <v>0</v>
      </c>
      <c r="E65" s="86">
        <v>30</v>
      </c>
      <c r="F65" s="86">
        <v>2255</v>
      </c>
      <c r="G65" s="86">
        <f>1020+7496+1575</f>
        <v>10091</v>
      </c>
      <c r="H65" s="86">
        <f>434+10+30</f>
        <v>474</v>
      </c>
    </row>
    <row r="66" spans="1:13" x14ac:dyDescent="0.25">
      <c r="A66" s="84" t="s">
        <v>0</v>
      </c>
      <c r="B66" s="86">
        <v>0</v>
      </c>
      <c r="C66" s="86">
        <f>25</f>
        <v>25</v>
      </c>
      <c r="D66" s="84">
        <v>0</v>
      </c>
      <c r="E66" s="84">
        <v>0</v>
      </c>
      <c r="F66" s="86">
        <f>400+30</f>
        <v>430</v>
      </c>
      <c r="G66" s="86">
        <f>50+50+50+50+25+25+25+50+25+50+25+25+25+25+25+25+25+25+50+50+50+50+50+100+100+100+100+250+500+1000+225+375+400+858+5+1.6</f>
        <v>4864.6000000000004</v>
      </c>
      <c r="H66" s="86">
        <f>25+25+25+432.39+175.82+525</f>
        <v>1208.21</v>
      </c>
    </row>
    <row r="67" spans="1:13" x14ac:dyDescent="0.25">
      <c r="A67" s="84" t="s">
        <v>2</v>
      </c>
      <c r="B67" s="84">
        <f t="shared" ref="B67:H67" si="3">B65-B66</f>
        <v>0</v>
      </c>
      <c r="C67" s="84">
        <f t="shared" si="3"/>
        <v>-25</v>
      </c>
      <c r="D67" s="84">
        <f t="shared" si="3"/>
        <v>0</v>
      </c>
      <c r="E67" s="84">
        <f t="shared" si="3"/>
        <v>30</v>
      </c>
      <c r="F67" s="84">
        <f t="shared" si="3"/>
        <v>1825</v>
      </c>
      <c r="G67" s="84">
        <f t="shared" si="3"/>
        <v>5226.3999999999996</v>
      </c>
      <c r="H67" s="84">
        <f t="shared" si="3"/>
        <v>-734.21</v>
      </c>
    </row>
    <row r="68" spans="1:13" x14ac:dyDescent="0.25">
      <c r="A68" s="84"/>
      <c r="B68" s="84"/>
      <c r="C68" s="84"/>
      <c r="D68" s="84"/>
      <c r="E68" s="84"/>
      <c r="F68" s="84"/>
      <c r="G68" s="84"/>
      <c r="H68" s="84"/>
    </row>
    <row r="69" spans="1:13" x14ac:dyDescent="0.25">
      <c r="A69" s="84" t="s">
        <v>7</v>
      </c>
      <c r="B69" s="84">
        <f t="shared" ref="B69:H69" si="4">B52+B57+B62+B67</f>
        <v>-1245.5199999999998</v>
      </c>
      <c r="C69" s="84">
        <f t="shared" si="4"/>
        <v>-3188.4199999999973</v>
      </c>
      <c r="D69" s="84">
        <f t="shared" si="4"/>
        <v>-1474.1100000000006</v>
      </c>
      <c r="E69" s="84">
        <f t="shared" si="4"/>
        <v>34.929999999999893</v>
      </c>
      <c r="F69" s="84">
        <f t="shared" si="4"/>
        <v>4908.32</v>
      </c>
      <c r="G69" s="84">
        <f t="shared" si="4"/>
        <v>5083.08</v>
      </c>
      <c r="H69" s="84">
        <f t="shared" si="4"/>
        <v>-4023.7799999999988</v>
      </c>
    </row>
    <row r="71" spans="1:13" x14ac:dyDescent="0.25">
      <c r="B71" s="2" t="s">
        <v>8</v>
      </c>
      <c r="C71" s="2" t="s">
        <v>9</v>
      </c>
      <c r="D71" s="2" t="s">
        <v>10</v>
      </c>
      <c r="E71" s="2" t="s">
        <v>11</v>
      </c>
      <c r="F71" s="2" t="s">
        <v>12</v>
      </c>
      <c r="G71" s="2" t="s">
        <v>13</v>
      </c>
      <c r="H71" s="2" t="s">
        <v>14</v>
      </c>
      <c r="I71" s="2" t="s">
        <v>15</v>
      </c>
      <c r="J71" s="2" t="s">
        <v>16</v>
      </c>
      <c r="K71" s="2" t="s">
        <v>17</v>
      </c>
      <c r="L71" s="2" t="s">
        <v>18</v>
      </c>
      <c r="M71" s="2" t="s">
        <v>19</v>
      </c>
    </row>
    <row r="72" spans="1:13" x14ac:dyDescent="0.25">
      <c r="A72">
        <v>2007</v>
      </c>
      <c r="B72" s="3">
        <v>0</v>
      </c>
      <c r="C72" s="3">
        <v>1750.94</v>
      </c>
      <c r="D72" s="3">
        <v>-1090.7699999999998</v>
      </c>
      <c r="E72" s="3">
        <v>0</v>
      </c>
      <c r="F72" s="3">
        <v>1994.83</v>
      </c>
      <c r="G72" s="3">
        <v>-407.53</v>
      </c>
      <c r="H72" s="3">
        <v>390.43000000000006</v>
      </c>
      <c r="I72" s="3">
        <v>3206.58</v>
      </c>
      <c r="J72" s="3">
        <v>-1364.9299999999994</v>
      </c>
      <c r="K72" s="3">
        <v>2262.970000000003</v>
      </c>
      <c r="L72" s="3">
        <v>-968.16999999999985</v>
      </c>
      <c r="M72" s="3">
        <v>1935.3600000000001</v>
      </c>
    </row>
    <row r="73" spans="1:13" x14ac:dyDescent="0.25">
      <c r="A73">
        <v>2008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>
        <v>2009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>
        <v>2010</v>
      </c>
      <c r="B75" s="3">
        <v>3653.7400000000016</v>
      </c>
      <c r="C75" s="3">
        <v>-3248.3299999999995</v>
      </c>
      <c r="D75" s="3">
        <v>2615.4</v>
      </c>
      <c r="E75" s="3">
        <v>3505.5499999999997</v>
      </c>
      <c r="F75" s="3">
        <v>4860.2</v>
      </c>
      <c r="G75" s="3">
        <v>0</v>
      </c>
      <c r="H75" s="3">
        <v>-6669.9</v>
      </c>
      <c r="I75" s="3">
        <v>-1289.92</v>
      </c>
      <c r="J75" s="3">
        <v>-3787.2299999999996</v>
      </c>
      <c r="K75" s="3">
        <v>6038.56</v>
      </c>
      <c r="L75" s="3">
        <v>284.03999999999974</v>
      </c>
      <c r="M75" s="3">
        <v>-3025.2299999999987</v>
      </c>
    </row>
    <row r="76" spans="1:13" x14ac:dyDescent="0.25">
      <c r="A76">
        <v>2011</v>
      </c>
      <c r="B76" s="3">
        <v>-397.85999999999967</v>
      </c>
      <c r="C76" s="3">
        <v>-2769.39</v>
      </c>
      <c r="D76" s="3">
        <v>-1559.3200000000011</v>
      </c>
      <c r="E76" s="3">
        <v>7743.61</v>
      </c>
      <c r="F76" s="3">
        <v>539.34000000000049</v>
      </c>
      <c r="G76" s="3">
        <v>375.61999999999978</v>
      </c>
      <c r="H76" s="3">
        <v>-1511.5500000000002</v>
      </c>
      <c r="I76" s="3">
        <v>-458.46000000000038</v>
      </c>
      <c r="J76" s="3">
        <v>-6262.09</v>
      </c>
      <c r="K76" s="3">
        <v>0</v>
      </c>
      <c r="L76" s="3">
        <v>0</v>
      </c>
      <c r="M76" s="3">
        <v>-1140.6899999999996</v>
      </c>
    </row>
    <row r="77" spans="1:13" x14ac:dyDescent="0.25">
      <c r="A77">
        <v>2012</v>
      </c>
      <c r="B77" s="3">
        <v>-3818.9499999999994</v>
      </c>
      <c r="C77" s="3">
        <v>-1491.0000000000002</v>
      </c>
      <c r="D77" s="3">
        <v>3162.8700000000003</v>
      </c>
      <c r="E77" s="3">
        <v>4524.7300000000005</v>
      </c>
      <c r="F77" s="3">
        <v>-996.00999999999988</v>
      </c>
      <c r="G77" s="3">
        <v>1279.7599999999993</v>
      </c>
      <c r="H77" s="3">
        <v>-1490.3400000000011</v>
      </c>
      <c r="I77" s="3">
        <v>-346.88000000000034</v>
      </c>
      <c r="J77" s="3">
        <v>-6295.75</v>
      </c>
      <c r="K77" s="3">
        <v>16927.879999999997</v>
      </c>
      <c r="L77" s="3">
        <v>0</v>
      </c>
      <c r="M77" s="3">
        <v>0</v>
      </c>
    </row>
    <row r="78" spans="1:13" x14ac:dyDescent="0.25">
      <c r="A78">
        <v>2013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</row>
    <row r="79" spans="1:13" x14ac:dyDescent="0.25">
      <c r="A79">
        <v>2014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6525.0300000000016</v>
      </c>
      <c r="L79" s="3">
        <v>-2823.6100000000006</v>
      </c>
      <c r="M79" s="3">
        <v>-2867.37</v>
      </c>
    </row>
    <row r="80" spans="1:13" x14ac:dyDescent="0.25">
      <c r="A80">
        <v>2015</v>
      </c>
      <c r="B80" s="3">
        <v>2525.1799999999994</v>
      </c>
      <c r="C80" s="3">
        <v>0</v>
      </c>
      <c r="D80" s="3">
        <v>242.16000000000059</v>
      </c>
      <c r="E80" s="3">
        <v>0</v>
      </c>
      <c r="F80" s="3">
        <v>125.47999999999993</v>
      </c>
      <c r="G80" s="3">
        <v>2889.0399999999991</v>
      </c>
      <c r="H80" s="3">
        <v>-2854.1999999999989</v>
      </c>
      <c r="I80" s="3">
        <v>5495.9000000000005</v>
      </c>
      <c r="J80" s="3">
        <v>2209.0899999999997</v>
      </c>
      <c r="K80" s="3">
        <v>8901.94</v>
      </c>
      <c r="L80" s="3">
        <v>0</v>
      </c>
      <c r="M80" s="3">
        <v>0</v>
      </c>
    </row>
    <row r="81" spans="1:13" x14ac:dyDescent="0.25">
      <c r="A81">
        <v>2016</v>
      </c>
      <c r="B81" s="3">
        <v>-892.45000000000039</v>
      </c>
      <c r="C81" s="3">
        <v>2769.3400000000006</v>
      </c>
      <c r="D81" s="3">
        <v>2341.6600000000003</v>
      </c>
      <c r="E81" s="3">
        <v>4788.22</v>
      </c>
      <c r="F81" s="3">
        <v>1712.1299999999997</v>
      </c>
      <c r="G81" s="3">
        <v>13897.119999999999</v>
      </c>
      <c r="H81" s="3">
        <v>-3768.98</v>
      </c>
      <c r="I81" s="3">
        <v>2709.29</v>
      </c>
      <c r="J81" s="3">
        <v>-3134.7200000000003</v>
      </c>
      <c r="K81" s="3">
        <v>2373.3099999999995</v>
      </c>
      <c r="L81" s="3">
        <v>7042.85</v>
      </c>
      <c r="M81" s="3">
        <v>-1030.3200000000008</v>
      </c>
    </row>
    <row r="82" spans="1:13" x14ac:dyDescent="0.25">
      <c r="A82">
        <v>2017</v>
      </c>
      <c r="B82">
        <v>-530.08999999999946</v>
      </c>
      <c r="C82">
        <v>2266.5100000000007</v>
      </c>
      <c r="D82">
        <v>-3458.8799999999997</v>
      </c>
      <c r="E82">
        <v>2948.55</v>
      </c>
      <c r="F82">
        <v>254.83000000000067</v>
      </c>
      <c r="G82">
        <v>3155.1099999999992</v>
      </c>
      <c r="H82">
        <v>-992.57000000000016</v>
      </c>
      <c r="I82">
        <v>253.17000000000036</v>
      </c>
      <c r="J82">
        <v>-5965.9699999999993</v>
      </c>
      <c r="K82">
        <v>3662.91</v>
      </c>
      <c r="L82">
        <v>895.51</v>
      </c>
      <c r="M82">
        <v>1731.8600000000008</v>
      </c>
    </row>
    <row r="83" spans="1:13" x14ac:dyDescent="0.25">
      <c r="A83">
        <v>2018</v>
      </c>
      <c r="B83">
        <v>-1245.5199999999998</v>
      </c>
      <c r="C83">
        <v>-3188.4199999999973</v>
      </c>
      <c r="D83">
        <v>-1474.1100000000006</v>
      </c>
      <c r="E83">
        <v>34.929999999999893</v>
      </c>
      <c r="F83">
        <v>4908.32</v>
      </c>
      <c r="G83">
        <v>5083.08</v>
      </c>
      <c r="H83">
        <v>-4023.7799999999988</v>
      </c>
      <c r="I83">
        <v>0</v>
      </c>
      <c r="J83">
        <v>0</v>
      </c>
      <c r="K83">
        <v>0</v>
      </c>
      <c r="L83">
        <v>0</v>
      </c>
      <c r="M83">
        <v>0</v>
      </c>
    </row>
    <row r="84" spans="1:13" s="88" customFormat="1" ht="3" customHeight="1" x14ac:dyDescent="0.25"/>
    <row r="85" spans="1:13" ht="24" customHeight="1" x14ac:dyDescent="0.25"/>
    <row r="86" spans="1:13" x14ac:dyDescent="0.25">
      <c r="A86" s="81"/>
      <c r="B86" s="81">
        <v>2018</v>
      </c>
      <c r="C86" s="81">
        <v>2018</v>
      </c>
      <c r="D86" s="81">
        <v>2018</v>
      </c>
      <c r="E86" s="81">
        <v>2018</v>
      </c>
      <c r="F86" s="81">
        <v>2018</v>
      </c>
      <c r="G86" s="81">
        <v>2018</v>
      </c>
      <c r="H86" s="81">
        <v>2018</v>
      </c>
    </row>
    <row r="87" spans="1:13" x14ac:dyDescent="0.25">
      <c r="A87" s="82" t="s">
        <v>3</v>
      </c>
      <c r="B87" s="83">
        <v>43101</v>
      </c>
      <c r="C87" s="83">
        <v>43132</v>
      </c>
      <c r="D87" s="83">
        <v>43160</v>
      </c>
      <c r="E87" s="83">
        <v>43191</v>
      </c>
      <c r="F87" s="83">
        <v>43221</v>
      </c>
      <c r="G87" s="83">
        <v>43252</v>
      </c>
      <c r="H87" s="83">
        <v>43282</v>
      </c>
    </row>
    <row r="88" spans="1:13" x14ac:dyDescent="0.25">
      <c r="A88" s="84" t="s">
        <v>1</v>
      </c>
      <c r="B88" s="85">
        <v>5201</v>
      </c>
      <c r="C88" s="85">
        <f>2225+563.46+12.5+966+525+89</f>
        <v>4380.96</v>
      </c>
      <c r="D88" s="85">
        <f>817+137+37.5+0.5+1780+433+250+65+1295+1150+890+291+75+830+241</f>
        <v>8292</v>
      </c>
      <c r="E88" s="85">
        <f>1508+707+383+114+1558+760+670+488+501+25</f>
        <v>6714</v>
      </c>
      <c r="F88" s="85">
        <f>1892+917+25+1920+912+766+570+340</f>
        <v>7342</v>
      </c>
      <c r="G88" s="85">
        <f>1625+1141+480+858+649.25+250</f>
        <v>5003.25</v>
      </c>
      <c r="H88" s="85">
        <f>1452+50+1090+225+470+284+260+766+405+561+215+6</f>
        <v>5784</v>
      </c>
    </row>
    <row r="89" spans="1:13" x14ac:dyDescent="0.25">
      <c r="A89" s="84" t="s">
        <v>0</v>
      </c>
      <c r="B89" s="86">
        <v>6627.57</v>
      </c>
      <c r="C89" s="86">
        <f>1721+691.67+190.33+981.92+130+328.56+130+328.56+50+315.11+1519.5+57+339.12+18.62+722.82+176.4+29.4+13+48.09+445+9.8+113.33</f>
        <v>8359.2299999999977</v>
      </c>
      <c r="D89" s="86">
        <f>1721+691.67+190.33+981.92+130+328.56+28.5+325+50+130+328.56+124.1+65.92+375+511.37+84.76+630.22+146.03+114.75+1095.55</f>
        <v>8053.2400000000007</v>
      </c>
      <c r="E89" s="86">
        <f>1721+691.67+190.33+981.92+130+315.56+195+328.56+44.02+244.83+300+18.62+125+100+68.25+251.56+113.33+871.85+1554.5+259.81+18.62+65+25+92.4</f>
        <v>8706.83</v>
      </c>
      <c r="F89" s="86">
        <f>1721+691.67+190.33+981.92+65+328.56+130+328.56+59.33+319.27+18.62+328.56+72.86+75+150+733.53+180.6+30.1+13+75+1464.1+251.18+113.15</f>
        <v>8321.34</v>
      </c>
      <c r="G89" s="86">
        <f>1721+691.67+190.33+981.92+130+351.65+130+328.56+130+166.87+60+176.2+113.15+40.96</f>
        <v>5212.3099999999995</v>
      </c>
      <c r="H89" s="86">
        <f>1721+691.67+190.33+981.92+130+328.56+300+100+328.56+50+75+18.62+45.5+130+328.56+159.42+1364.5+125+6.7+50.92+18.62+100+628.74+75+442+112.82+259.25+114.56+10+30+79.2</f>
        <v>8996.4499999999989</v>
      </c>
    </row>
    <row r="90" spans="1:13" x14ac:dyDescent="0.25">
      <c r="A90" s="84" t="s">
        <v>2</v>
      </c>
      <c r="B90" s="84">
        <f t="shared" ref="B90:H90" si="5">B88-B89</f>
        <v>-1426.5699999999997</v>
      </c>
      <c r="C90" s="84">
        <f t="shared" si="5"/>
        <v>-3978.2699999999977</v>
      </c>
      <c r="D90" s="84">
        <f t="shared" si="5"/>
        <v>238.75999999999931</v>
      </c>
      <c r="E90" s="84">
        <f t="shared" si="5"/>
        <v>-1992.83</v>
      </c>
      <c r="F90" s="84">
        <f t="shared" si="5"/>
        <v>-979.34000000000015</v>
      </c>
      <c r="G90" s="84">
        <f t="shared" si="5"/>
        <v>-209.05999999999949</v>
      </c>
      <c r="H90" s="84">
        <f t="shared" si="5"/>
        <v>-3212.4499999999989</v>
      </c>
    </row>
    <row r="91" spans="1:13" x14ac:dyDescent="0.25">
      <c r="A91" s="84"/>
      <c r="B91" s="84"/>
      <c r="C91" s="84"/>
      <c r="D91" s="84"/>
      <c r="E91" s="84"/>
      <c r="F91" s="84"/>
      <c r="G91" s="84"/>
      <c r="H91" s="84"/>
    </row>
    <row r="92" spans="1:13" x14ac:dyDescent="0.25">
      <c r="A92" s="87" t="s">
        <v>4</v>
      </c>
      <c r="B92" s="84"/>
      <c r="C92" s="84"/>
      <c r="D92" s="84"/>
      <c r="E92" s="84"/>
      <c r="F92" s="84"/>
      <c r="G92" s="84"/>
      <c r="H92" s="84"/>
    </row>
    <row r="93" spans="1:13" x14ac:dyDescent="0.25">
      <c r="A93" s="84" t="s">
        <v>1</v>
      </c>
      <c r="B93" s="85">
        <v>181</v>
      </c>
      <c r="C93" s="85">
        <f>260+9.8</f>
        <v>269.8</v>
      </c>
      <c r="D93" s="85">
        <f>10+100+10</f>
        <v>120</v>
      </c>
      <c r="E93" s="85">
        <f>100+1554.5+259.81+20+18.62+65</f>
        <v>2017.9299999999998</v>
      </c>
      <c r="F93" s="85">
        <f>5875+120+10+22</f>
        <v>6027</v>
      </c>
      <c r="G93" s="85">
        <f>100+30+5</f>
        <v>135</v>
      </c>
      <c r="H93" s="85">
        <f>10+100+112.82</f>
        <v>222.82</v>
      </c>
    </row>
    <row r="94" spans="1:13" x14ac:dyDescent="0.25">
      <c r="A94" s="84" t="s">
        <v>0</v>
      </c>
      <c r="B94" s="84">
        <v>0</v>
      </c>
      <c r="C94" s="84">
        <v>0</v>
      </c>
      <c r="D94" s="86">
        <f>259.81+1554.5+18.62</f>
        <v>1832.9299999999998</v>
      </c>
      <c r="E94" s="86">
        <f>45.23</f>
        <v>45.23</v>
      </c>
      <c r="F94" s="86">
        <f>65+183+1691.45+9.95+45</f>
        <v>1994.4</v>
      </c>
      <c r="G94" s="86">
        <f>37.82+31.5</f>
        <v>69.319999999999993</v>
      </c>
      <c r="H94" s="86">
        <f>100+200</f>
        <v>300</v>
      </c>
    </row>
    <row r="95" spans="1:13" x14ac:dyDescent="0.25">
      <c r="A95" s="84" t="s">
        <v>2</v>
      </c>
      <c r="B95" s="84">
        <f t="shared" ref="B95:H95" si="6">B93-B94</f>
        <v>181</v>
      </c>
      <c r="C95" s="84">
        <f t="shared" si="6"/>
        <v>269.8</v>
      </c>
      <c r="D95" s="84">
        <f t="shared" si="6"/>
        <v>-1712.9299999999998</v>
      </c>
      <c r="E95" s="84">
        <f t="shared" si="6"/>
        <v>1972.6999999999998</v>
      </c>
      <c r="F95" s="84">
        <f t="shared" si="6"/>
        <v>4032.6</v>
      </c>
      <c r="G95" s="84">
        <f t="shared" si="6"/>
        <v>65.680000000000007</v>
      </c>
      <c r="H95" s="84">
        <f t="shared" si="6"/>
        <v>-77.180000000000007</v>
      </c>
    </row>
    <row r="96" spans="1:13" x14ac:dyDescent="0.25">
      <c r="A96" s="84"/>
      <c r="B96" s="84"/>
      <c r="C96" s="84"/>
      <c r="D96" s="84"/>
      <c r="E96" s="84"/>
      <c r="F96" s="84"/>
      <c r="G96" s="84"/>
      <c r="H96" s="84"/>
    </row>
    <row r="97" spans="1:8" x14ac:dyDescent="0.25">
      <c r="A97" s="87" t="s">
        <v>5</v>
      </c>
      <c r="B97" s="84"/>
      <c r="C97" s="84"/>
      <c r="D97" s="84"/>
      <c r="E97" s="84"/>
      <c r="F97" s="84"/>
      <c r="G97" s="84"/>
      <c r="H97" s="84"/>
    </row>
    <row r="98" spans="1:8" x14ac:dyDescent="0.25">
      <c r="A98" s="84" t="s">
        <v>1</v>
      </c>
      <c r="B98" s="84">
        <v>0.05</v>
      </c>
      <c r="C98" s="84">
        <v>545.04999999999995</v>
      </c>
      <c r="D98" s="86">
        <f>0.06</f>
        <v>0.06</v>
      </c>
      <c r="E98" s="86">
        <f>25.06</f>
        <v>25.06</v>
      </c>
      <c r="F98" s="86">
        <f>30.06</f>
        <v>30.06</v>
      </c>
      <c r="G98" s="86">
        <f>0.06</f>
        <v>0.06</v>
      </c>
      <c r="H98" s="86">
        <f>0.06</f>
        <v>0.06</v>
      </c>
    </row>
    <row r="99" spans="1:8" x14ac:dyDescent="0.25">
      <c r="A99" s="84" t="s">
        <v>0</v>
      </c>
      <c r="B99" s="84">
        <v>0</v>
      </c>
      <c r="C99" s="84">
        <v>0</v>
      </c>
      <c r="D99" s="84">
        <v>0</v>
      </c>
      <c r="E99" s="84">
        <v>0</v>
      </c>
      <c r="F99" s="84">
        <v>0</v>
      </c>
      <c r="G99" s="84">
        <v>0</v>
      </c>
      <c r="H99" s="84">
        <v>0</v>
      </c>
    </row>
    <row r="100" spans="1:8" x14ac:dyDescent="0.25">
      <c r="A100" s="84" t="s">
        <v>2</v>
      </c>
      <c r="B100" s="84">
        <f t="shared" ref="B100:H100" si="7">B98-B99</f>
        <v>0.05</v>
      </c>
      <c r="C100" s="84">
        <f t="shared" si="7"/>
        <v>545.04999999999995</v>
      </c>
      <c r="D100" s="84">
        <f t="shared" si="7"/>
        <v>0.06</v>
      </c>
      <c r="E100" s="84">
        <f t="shared" si="7"/>
        <v>25.06</v>
      </c>
      <c r="F100" s="84">
        <f t="shared" si="7"/>
        <v>30.06</v>
      </c>
      <c r="G100" s="84">
        <f t="shared" si="7"/>
        <v>0.06</v>
      </c>
      <c r="H100" s="84">
        <f t="shared" si="7"/>
        <v>0.06</v>
      </c>
    </row>
    <row r="101" spans="1:8" x14ac:dyDescent="0.25">
      <c r="A101" s="84"/>
      <c r="B101" s="84"/>
      <c r="C101" s="84"/>
      <c r="D101" s="84"/>
      <c r="E101" s="84"/>
      <c r="F101" s="84"/>
      <c r="G101" s="84"/>
      <c r="H101" s="84"/>
    </row>
    <row r="102" spans="1:8" x14ac:dyDescent="0.25">
      <c r="A102" s="87" t="s">
        <v>6</v>
      </c>
      <c r="B102" s="84"/>
      <c r="C102" s="84"/>
      <c r="D102" s="84"/>
      <c r="E102" s="84"/>
      <c r="F102" s="84"/>
      <c r="G102" s="84"/>
      <c r="H102" s="84"/>
    </row>
    <row r="103" spans="1:8" x14ac:dyDescent="0.25">
      <c r="A103" s="84" t="s">
        <v>1</v>
      </c>
      <c r="B103" s="84">
        <v>0</v>
      </c>
      <c r="C103" s="84">
        <v>0</v>
      </c>
      <c r="D103" s="84">
        <v>0</v>
      </c>
      <c r="E103" s="86">
        <v>30</v>
      </c>
      <c r="F103" s="86">
        <v>2255</v>
      </c>
      <c r="G103" s="86">
        <f>1020+7496+1575</f>
        <v>10091</v>
      </c>
      <c r="H103" s="86">
        <f>434+10+30</f>
        <v>474</v>
      </c>
    </row>
    <row r="104" spans="1:8" x14ac:dyDescent="0.25">
      <c r="A104" s="84" t="s">
        <v>0</v>
      </c>
      <c r="B104" s="86">
        <v>0</v>
      </c>
      <c r="C104" s="86">
        <f>25</f>
        <v>25</v>
      </c>
      <c r="D104" s="84">
        <v>0</v>
      </c>
      <c r="E104" s="84">
        <v>0</v>
      </c>
      <c r="F104" s="86">
        <f>400+30</f>
        <v>430</v>
      </c>
      <c r="G104" s="86">
        <f>50+50+50+50+25+25+25+50+25+50+25+25+25+25+25+25+25+25+50+50+50+50+50+100+100+100+100+250+500+1000+225+375+400+858+5+1.6</f>
        <v>4864.6000000000004</v>
      </c>
      <c r="H104" s="86">
        <f>25+25+25+432.39+175.82+525</f>
        <v>1208.21</v>
      </c>
    </row>
    <row r="105" spans="1:8" x14ac:dyDescent="0.25">
      <c r="A105" s="84" t="s">
        <v>2</v>
      </c>
      <c r="B105" s="84">
        <f t="shared" ref="B105:H105" si="8">B103-B104</f>
        <v>0</v>
      </c>
      <c r="C105" s="84">
        <f t="shared" si="8"/>
        <v>-25</v>
      </c>
      <c r="D105" s="84">
        <f t="shared" si="8"/>
        <v>0</v>
      </c>
      <c r="E105" s="84">
        <f t="shared" si="8"/>
        <v>30</v>
      </c>
      <c r="F105" s="84">
        <f t="shared" si="8"/>
        <v>1825</v>
      </c>
      <c r="G105" s="84">
        <f t="shared" si="8"/>
        <v>5226.3999999999996</v>
      </c>
      <c r="H105" s="84">
        <f t="shared" si="8"/>
        <v>-734.21</v>
      </c>
    </row>
    <row r="106" spans="1:8" x14ac:dyDescent="0.25">
      <c r="A106" s="84"/>
      <c r="B106" s="84"/>
      <c r="C106" s="84"/>
      <c r="D106" s="84"/>
      <c r="E106" s="84"/>
      <c r="F106" s="84"/>
      <c r="G106" s="84"/>
      <c r="H106" s="84"/>
    </row>
    <row r="107" spans="1:8" x14ac:dyDescent="0.25">
      <c r="A107" s="84" t="s">
        <v>7</v>
      </c>
      <c r="B107" s="84">
        <f t="shared" ref="B107:H107" si="9">B90+B95+B100+B105</f>
        <v>-1245.5199999999998</v>
      </c>
      <c r="C107" s="84">
        <f t="shared" si="9"/>
        <v>-3188.4199999999973</v>
      </c>
      <c r="D107" s="84">
        <f t="shared" si="9"/>
        <v>-1474.1100000000006</v>
      </c>
      <c r="E107" s="84">
        <f t="shared" si="9"/>
        <v>34.929999999999893</v>
      </c>
      <c r="F107" s="84">
        <f t="shared" si="9"/>
        <v>4908.32</v>
      </c>
      <c r="G107" s="84">
        <f t="shared" si="9"/>
        <v>5083.08</v>
      </c>
      <c r="H107" s="84">
        <f t="shared" si="9"/>
        <v>-4023.7799999999988</v>
      </c>
    </row>
  </sheetData>
  <pageMargins left="0.7" right="0.7" top="0.75" bottom="0.75" header="0.3" footer="0.3"/>
  <pageSetup scale="32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4" sqref="C4"/>
    </sheetView>
  </sheetViews>
  <sheetFormatPr defaultRowHeight="15" x14ac:dyDescent="0.25"/>
  <cols>
    <col min="1" max="1" width="26.85546875" style="1" bestFit="1" customWidth="1"/>
    <col min="2" max="2" width="35.85546875" bestFit="1" customWidth="1"/>
    <col min="3" max="3" width="10.7109375" style="3" customWidth="1"/>
    <col min="4" max="4" width="12.140625" customWidth="1"/>
  </cols>
  <sheetData>
    <row r="1" spans="1:4" x14ac:dyDescent="0.25">
      <c r="A1" s="1" t="s">
        <v>169</v>
      </c>
    </row>
    <row r="2" spans="1:4" x14ac:dyDescent="0.25">
      <c r="A2" s="1" t="s">
        <v>53</v>
      </c>
      <c r="D2" s="219" t="s">
        <v>167</v>
      </c>
    </row>
    <row r="3" spans="1:4" x14ac:dyDescent="0.25">
      <c r="B3" t="s">
        <v>54</v>
      </c>
      <c r="C3" s="3">
        <v>7077.99</v>
      </c>
    </row>
    <row r="4" spans="1:4" x14ac:dyDescent="0.25">
      <c r="B4" t="s">
        <v>166</v>
      </c>
      <c r="C4" s="3">
        <v>41376.5</v>
      </c>
      <c r="D4" s="3"/>
    </row>
    <row r="5" spans="1:4" x14ac:dyDescent="0.25">
      <c r="B5" t="s">
        <v>60</v>
      </c>
      <c r="C5" s="3">
        <v>40510.07</v>
      </c>
    </row>
    <row r="6" spans="1:4" x14ac:dyDescent="0.25">
      <c r="B6" t="s">
        <v>62</v>
      </c>
      <c r="C6" s="4">
        <v>7944.42</v>
      </c>
      <c r="D6" s="221">
        <f>C6-C3</f>
        <v>866.43000000000029</v>
      </c>
    </row>
    <row r="7" spans="1:4" x14ac:dyDescent="0.25">
      <c r="A7" s="1" t="s">
        <v>63</v>
      </c>
    </row>
    <row r="8" spans="1:4" x14ac:dyDescent="0.25">
      <c r="B8" t="s">
        <v>54</v>
      </c>
      <c r="C8" s="3">
        <v>42664.07</v>
      </c>
    </row>
    <row r="9" spans="1:4" x14ac:dyDescent="0.25">
      <c r="B9" t="s">
        <v>166</v>
      </c>
      <c r="C9" s="3">
        <v>6321.74</v>
      </c>
      <c r="D9" s="3"/>
    </row>
    <row r="10" spans="1:4" x14ac:dyDescent="0.25">
      <c r="B10" t="s">
        <v>60</v>
      </c>
      <c r="C10" s="3">
        <v>15617.52</v>
      </c>
    </row>
    <row r="11" spans="1:4" x14ac:dyDescent="0.25">
      <c r="B11" t="s">
        <v>62</v>
      </c>
      <c r="C11" s="4">
        <v>33368.29</v>
      </c>
      <c r="D11" s="220">
        <f>C11-C8</f>
        <v>-9295.7799999999988</v>
      </c>
    </row>
    <row r="12" spans="1:4" x14ac:dyDescent="0.25">
      <c r="A12" s="1" t="s">
        <v>67</v>
      </c>
    </row>
    <row r="13" spans="1:4" x14ac:dyDescent="0.25">
      <c r="B13" t="s">
        <v>54</v>
      </c>
      <c r="C13" s="3">
        <v>4864.26</v>
      </c>
    </row>
    <row r="14" spans="1:4" x14ac:dyDescent="0.25">
      <c r="B14" t="s">
        <v>166</v>
      </c>
      <c r="C14" s="3">
        <v>1010.5600000000002</v>
      </c>
      <c r="D14" s="3"/>
    </row>
    <row r="15" spans="1:4" x14ac:dyDescent="0.25">
      <c r="B15" t="s">
        <v>60</v>
      </c>
      <c r="C15" s="3">
        <v>0</v>
      </c>
    </row>
    <row r="16" spans="1:4" x14ac:dyDescent="0.25">
      <c r="B16" t="s">
        <v>62</v>
      </c>
      <c r="C16" s="4">
        <v>5874.8200000000006</v>
      </c>
      <c r="D16" s="221">
        <f>C16-C13</f>
        <v>1010.5600000000004</v>
      </c>
    </row>
    <row r="17" spans="1:4" x14ac:dyDescent="0.25">
      <c r="A17" s="1" t="s">
        <v>71</v>
      </c>
    </row>
    <row r="18" spans="1:4" x14ac:dyDescent="0.25">
      <c r="B18" t="s">
        <v>54</v>
      </c>
      <c r="C18" s="3">
        <v>2044.72</v>
      </c>
    </row>
    <row r="19" spans="1:4" x14ac:dyDescent="0.25">
      <c r="B19" t="s">
        <v>166</v>
      </c>
      <c r="C19" s="3">
        <v>10177</v>
      </c>
      <c r="D19" s="3"/>
    </row>
    <row r="20" spans="1:4" x14ac:dyDescent="0.25">
      <c r="B20" t="s">
        <v>72</v>
      </c>
      <c r="C20" s="3">
        <v>475</v>
      </c>
    </row>
    <row r="21" spans="1:4" x14ac:dyDescent="0.25">
      <c r="B21" t="s">
        <v>60</v>
      </c>
      <c r="C21" s="3">
        <v>4481.34</v>
      </c>
    </row>
    <row r="22" spans="1:4" x14ac:dyDescent="0.25">
      <c r="B22" t="s">
        <v>62</v>
      </c>
      <c r="C22" s="4">
        <v>7740.3799999999992</v>
      </c>
      <c r="D22" s="221">
        <f>C22-C18</f>
        <v>5695.6599999999989</v>
      </c>
    </row>
    <row r="24" spans="1:4" x14ac:dyDescent="0.25">
      <c r="B24" t="s">
        <v>168</v>
      </c>
      <c r="D24" s="220">
        <f>SUM(D6:D23)</f>
        <v>-1723.1299999999992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BudgetData</vt:lpstr>
      <vt:lpstr>Differential</vt:lpstr>
      <vt:lpstr>Data</vt:lpstr>
      <vt:lpstr>Charts</vt:lpstr>
      <vt:lpstr>Print2018Budget</vt:lpstr>
      <vt:lpstr>Accounts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DebChris</dc:creator>
  <cp:lastModifiedBy>DebChris</cp:lastModifiedBy>
  <cp:lastPrinted>2018-08-23T15:15:43Z</cp:lastPrinted>
  <dcterms:created xsi:type="dcterms:W3CDTF">2016-10-19T00:21:52Z</dcterms:created>
  <dcterms:modified xsi:type="dcterms:W3CDTF">2020-01-16T01:50:14Z</dcterms:modified>
</cp:coreProperties>
</file>